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204-10875\Desktop\"/>
    </mc:Choice>
  </mc:AlternateContent>
  <bookViews>
    <workbookView xWindow="0" yWindow="0" windowWidth="20490" windowHeight="7605"/>
  </bookViews>
  <sheets>
    <sheet name="R7国保税試算" sheetId="12" r:id="rId1"/>
    <sheet name="個人内訳" sheetId="21" r:id="rId2"/>
    <sheet name="入力例" sheetId="38" r:id="rId3"/>
    <sheet name="給与源泉徴収票" sheetId="17" r:id="rId4"/>
    <sheet name="年金源泉徴収票 " sheetId="18" r:id="rId5"/>
    <sheet name="確定申告書A・B" sheetId="19" r:id="rId6"/>
  </sheets>
  <definedNames>
    <definedName name="_xlnm.Print_Area" localSheetId="0">'R7国保税試算'!$A$1:$CU$77</definedName>
    <definedName name="_xlnm.Print_Area" localSheetId="5">確定申告書A・B!$A$1:$U$42</definedName>
    <definedName name="_xlnm.Print_Area" localSheetId="3">給与源泉徴収票!$A$1:$CM$18</definedName>
    <definedName name="_xlnm.Print_Area" localSheetId="1">個人内訳!$B$2:$AZ$22</definedName>
    <definedName name="_xlnm.Print_Area" localSheetId="2">入力例!$A$1:$CU$77</definedName>
    <definedName name="_xlnm.Print_Area" localSheetId="4">'年金源泉徴収票 '!$A$1:$CR$26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38" l="1"/>
  <c r="CI74" i="38"/>
  <c r="BS74" i="38"/>
  <c r="CA74" i="38" s="1"/>
  <c r="BK74" i="38"/>
  <c r="AX74" i="38"/>
  <c r="AP74" i="38"/>
  <c r="AA74" i="38"/>
  <c r="AH74" i="38" s="1"/>
  <c r="CI72" i="38"/>
  <c r="BS72" i="38"/>
  <c r="CA72" i="38" s="1"/>
  <c r="BK72" i="38"/>
  <c r="AX72" i="38"/>
  <c r="AP72" i="38"/>
  <c r="AA72" i="38"/>
  <c r="AH72" i="38" s="1"/>
  <c r="CI70" i="38"/>
  <c r="BS70" i="38"/>
  <c r="CA70" i="38" s="1"/>
  <c r="BK70" i="38"/>
  <c r="AX70" i="38"/>
  <c r="AP70" i="38"/>
  <c r="AA70" i="38"/>
  <c r="AH70" i="38" s="1"/>
  <c r="CI68" i="38"/>
  <c r="BS68" i="38"/>
  <c r="CA68" i="38" s="1"/>
  <c r="BK68" i="38"/>
  <c r="AX68" i="38"/>
  <c r="AP68" i="38"/>
  <c r="AA68" i="38"/>
  <c r="AH68" i="38" s="1"/>
  <c r="CI65" i="38"/>
  <c r="BS65" i="38"/>
  <c r="CA65" i="38" s="1"/>
  <c r="BK65" i="38"/>
  <c r="AX65" i="38"/>
  <c r="AP65" i="38"/>
  <c r="AA65" i="38"/>
  <c r="AH65" i="38" s="1"/>
  <c r="CI63" i="38"/>
  <c r="CQ63" i="38" s="1"/>
  <c r="BS63" i="38"/>
  <c r="CA63" i="38" s="1"/>
  <c r="BK63" i="38"/>
  <c r="AX63" i="38"/>
  <c r="AP63" i="38"/>
  <c r="AA63" i="38"/>
  <c r="AH63" i="38" s="1"/>
  <c r="CI61" i="38"/>
  <c r="BS61" i="38"/>
  <c r="CA61" i="38" s="1"/>
  <c r="BK61" i="38"/>
  <c r="AX61" i="38"/>
  <c r="AP61" i="38"/>
  <c r="AH61" i="38"/>
  <c r="AA61" i="38"/>
  <c r="CI59" i="38"/>
  <c r="BS59" i="38"/>
  <c r="CA59" i="38" s="1"/>
  <c r="BK59" i="38"/>
  <c r="AX59" i="38"/>
  <c r="AP59" i="38"/>
  <c r="AA59" i="38"/>
  <c r="AH59" i="38" s="1"/>
  <c r="BS56" i="38"/>
  <c r="CA56" i="38" s="1"/>
  <c r="AX56" i="38"/>
  <c r="AA56" i="38"/>
  <c r="AH56" i="38" s="1"/>
  <c r="BS54" i="38"/>
  <c r="CA54" i="38" s="1"/>
  <c r="AX54" i="38"/>
  <c r="AA54" i="38"/>
  <c r="AH54" i="38" s="1"/>
  <c r="BS52" i="38"/>
  <c r="CA52" i="38" s="1"/>
  <c r="AX52" i="38"/>
  <c r="AA52" i="38"/>
  <c r="AH52" i="38" s="1"/>
  <c r="BS50" i="38"/>
  <c r="CA50" i="38" s="1"/>
  <c r="AX50" i="38"/>
  <c r="AA50" i="38"/>
  <c r="AH50" i="38" s="1"/>
  <c r="BK47" i="38"/>
  <c r="AX47" i="38"/>
  <c r="AA47" i="38"/>
  <c r="AH47" i="38" s="1"/>
  <c r="BK45" i="38"/>
  <c r="AX45" i="38"/>
  <c r="AA45" i="38"/>
  <c r="AH45" i="38" s="1"/>
  <c r="BK43" i="38"/>
  <c r="AX43" i="38"/>
  <c r="AA43" i="38"/>
  <c r="AH43" i="38" s="1"/>
  <c r="BK41" i="38"/>
  <c r="AX41" i="38"/>
  <c r="AA41" i="38"/>
  <c r="AH41" i="38" s="1"/>
  <c r="BS38" i="38"/>
  <c r="CA38" i="38" s="1"/>
  <c r="BK38" i="38"/>
  <c r="AX38" i="38"/>
  <c r="AA38" i="38"/>
  <c r="AH38" i="38" s="1"/>
  <c r="BS36" i="38"/>
  <c r="CA36" i="38" s="1"/>
  <c r="BK36" i="38"/>
  <c r="AX36" i="38"/>
  <c r="AA36" i="38"/>
  <c r="AH36" i="38" s="1"/>
  <c r="BS34" i="38"/>
  <c r="CA34" i="38" s="1"/>
  <c r="BK34" i="38"/>
  <c r="AX34" i="38"/>
  <c r="AA34" i="38"/>
  <c r="AH34" i="38" s="1"/>
  <c r="BS32" i="38"/>
  <c r="CA32" i="38" s="1"/>
  <c r="BK32" i="38"/>
  <c r="AX32" i="38"/>
  <c r="AA32" i="38"/>
  <c r="AH32" i="38" s="1"/>
  <c r="BS29" i="38"/>
  <c r="CA29" i="38" s="1"/>
  <c r="AX29" i="38"/>
  <c r="AA29" i="38"/>
  <c r="AH29" i="38" s="1"/>
  <c r="BS27" i="38"/>
  <c r="CA27" i="38" s="1"/>
  <c r="AX27" i="38"/>
  <c r="AA27" i="38"/>
  <c r="AH27" i="38" s="1"/>
  <c r="BS25" i="38"/>
  <c r="CA25" i="38" s="1"/>
  <c r="AX25" i="38"/>
  <c r="AA25" i="38"/>
  <c r="AH25" i="38" s="1"/>
  <c r="BS23" i="38"/>
  <c r="CA23" i="38" s="1"/>
  <c r="AX23" i="38"/>
  <c r="AA23" i="38"/>
  <c r="AH23" i="38" s="1"/>
  <c r="H19" i="38"/>
  <c r="D19" i="38"/>
  <c r="AZ17" i="38"/>
  <c r="H17" i="38"/>
  <c r="D17" i="38"/>
  <c r="AZ15" i="38"/>
  <c r="H15" i="38"/>
  <c r="D15" i="38"/>
  <c r="I5" i="38"/>
  <c r="E11" i="38" s="1"/>
  <c r="CQ59" i="38" l="1"/>
  <c r="CQ65" i="38"/>
  <c r="CQ61" i="38"/>
  <c r="CQ68" i="38"/>
  <c r="CQ70" i="38"/>
  <c r="CQ72" i="38"/>
  <c r="CQ74" i="38"/>
  <c r="E13" i="38"/>
  <c r="BF23" i="38" s="1"/>
  <c r="AZ17" i="12"/>
  <c r="AZ15" i="12"/>
  <c r="BK52" i="38" l="1"/>
  <c r="CI52" i="38" s="1"/>
  <c r="BK54" i="38"/>
  <c r="CI54" i="38" s="1"/>
  <c r="BK56" i="38"/>
  <c r="CI56" i="38" s="1"/>
  <c r="BK50" i="38"/>
  <c r="CI50" i="38" s="1"/>
  <c r="BS43" i="38"/>
  <c r="BS45" i="38"/>
  <c r="BS41" i="38"/>
  <c r="BS47" i="38"/>
  <c r="CI27" i="38"/>
  <c r="CI34" i="38"/>
  <c r="CI36" i="38"/>
  <c r="CI32" i="38"/>
  <c r="CI38" i="38"/>
  <c r="AP27" i="38"/>
  <c r="CQ27" i="38" s="1"/>
  <c r="CI23" i="38"/>
  <c r="CI25" i="38"/>
  <c r="CI29" i="38"/>
  <c r="AR4" i="38"/>
  <c r="BK23" i="38"/>
  <c r="BK29" i="38"/>
  <c r="BK25" i="38"/>
  <c r="BK27" i="38"/>
  <c r="CQ9" i="38"/>
  <c r="AX68" i="12"/>
  <c r="AX59" i="12"/>
  <c r="AX50" i="12"/>
  <c r="AX41" i="12"/>
  <c r="AX32" i="12"/>
  <c r="AX23" i="12"/>
  <c r="AP56" i="38" l="1"/>
  <c r="CQ56" i="38" s="1"/>
  <c r="AP54" i="38"/>
  <c r="CQ54" i="38"/>
  <c r="AP52" i="38"/>
  <c r="AP50" i="38" s="1"/>
  <c r="CQ50" i="38" s="1"/>
  <c r="CA47" i="38"/>
  <c r="CI47" i="38"/>
  <c r="CA41" i="38"/>
  <c r="CI41" i="38"/>
  <c r="CA45" i="38"/>
  <c r="CI45" i="38"/>
  <c r="CA43" i="38"/>
  <c r="CI43" i="38"/>
  <c r="AP36" i="38"/>
  <c r="CQ36" i="38" s="1"/>
  <c r="AP38" i="38"/>
  <c r="CQ38" i="38" s="1"/>
  <c r="AP34" i="38"/>
  <c r="AP29" i="38"/>
  <c r="CQ29" i="38" s="1"/>
  <c r="AP25" i="38"/>
  <c r="AX29" i="12"/>
  <c r="AX27" i="12"/>
  <c r="AX25" i="12"/>
  <c r="CQ52" i="38" l="1"/>
  <c r="AP32" i="38"/>
  <c r="CQ32" i="38" s="1"/>
  <c r="AP45" i="38"/>
  <c r="CQ45" i="38"/>
  <c r="AP43" i="38"/>
  <c r="CQ43" i="38"/>
  <c r="AP47" i="38"/>
  <c r="CQ47" i="38" s="1"/>
  <c r="CQ34" i="38"/>
  <c r="AP23" i="38"/>
  <c r="CQ23" i="38" s="1"/>
  <c r="CQ25" i="38"/>
  <c r="D15" i="12"/>
  <c r="H19" i="12"/>
  <c r="H17" i="12"/>
  <c r="H15" i="12"/>
  <c r="D19" i="12"/>
  <c r="D17" i="12"/>
  <c r="AA74" i="12"/>
  <c r="AA65" i="12"/>
  <c r="AA56" i="12"/>
  <c r="AA47" i="12"/>
  <c r="AA38" i="12"/>
  <c r="AA29" i="12"/>
  <c r="AA68" i="12"/>
  <c r="AA59" i="12"/>
  <c r="AA50" i="12"/>
  <c r="AA41" i="12"/>
  <c r="AA32" i="12"/>
  <c r="AA23" i="12"/>
  <c r="AP41" i="38" l="1"/>
  <c r="CQ41" i="38" s="1"/>
  <c r="CQ7" i="38" s="1"/>
  <c r="AX74" i="12"/>
  <c r="AX72" i="12"/>
  <c r="AX70" i="12"/>
  <c r="AX65" i="12"/>
  <c r="AX63" i="12"/>
  <c r="AX61" i="12"/>
  <c r="AX56" i="12"/>
  <c r="AX54" i="12"/>
  <c r="AX52" i="12"/>
  <c r="AX47" i="12"/>
  <c r="AX45" i="12"/>
  <c r="AX43" i="12"/>
  <c r="AX38" i="12"/>
  <c r="L77" i="38" l="1"/>
  <c r="CQ4" i="38"/>
  <c r="CI4" i="38" s="1"/>
  <c r="BS74" i="12"/>
  <c r="CA74" i="12" s="1"/>
  <c r="BS72" i="12"/>
  <c r="CA72" i="12" s="1"/>
  <c r="BS70" i="12"/>
  <c r="CA70" i="12" s="1"/>
  <c r="BS68" i="12"/>
  <c r="CA68" i="12" s="1"/>
  <c r="AH74" i="12"/>
  <c r="AA72" i="12"/>
  <c r="AH72" i="12" s="1"/>
  <c r="AA70" i="12"/>
  <c r="AH70" i="12" s="1"/>
  <c r="AH68" i="12"/>
  <c r="AH65" i="12"/>
  <c r="AA63" i="12"/>
  <c r="AH63" i="12" s="1"/>
  <c r="AA61" i="12"/>
  <c r="AH61" i="12" s="1"/>
  <c r="AH59" i="12"/>
  <c r="AA54" i="12"/>
  <c r="AA52" i="12"/>
  <c r="AH50" i="12"/>
  <c r="AA45" i="12"/>
  <c r="AA43" i="12"/>
  <c r="AH41" i="12"/>
  <c r="AH38" i="12"/>
  <c r="AA36" i="12"/>
  <c r="AA34" i="12"/>
  <c r="AH34" i="12" s="1"/>
  <c r="AH32" i="12"/>
  <c r="AX36" i="12"/>
  <c r="AX34" i="12"/>
  <c r="AA27" i="12"/>
  <c r="AH27" i="12" s="1"/>
  <c r="AA25" i="12"/>
  <c r="AH25" i="12" s="1"/>
  <c r="AH23" i="12"/>
  <c r="AH54" i="12" l="1"/>
  <c r="AH43" i="12"/>
  <c r="AH56" i="12"/>
  <c r="AH36" i="12"/>
  <c r="AH45" i="12"/>
  <c r="AH47" i="12"/>
  <c r="AH52" i="12"/>
  <c r="AH29" i="12"/>
  <c r="I5" i="12" l="1"/>
  <c r="E13" i="12" l="1"/>
  <c r="E11" i="12"/>
  <c r="DS24" i="18"/>
  <c r="DP24" i="18"/>
  <c r="DM24" i="18"/>
  <c r="DS23" i="18"/>
  <c r="DP23" i="18"/>
  <c r="DM23" i="18"/>
  <c r="DS22" i="18"/>
  <c r="DP22" i="18"/>
  <c r="DM22" i="18"/>
  <c r="DS21" i="18"/>
  <c r="DP21" i="18"/>
  <c r="DM21" i="18"/>
  <c r="DS20" i="18"/>
  <c r="DU9" i="18" s="1"/>
  <c r="DP20" i="18"/>
  <c r="DR9" i="18" s="1"/>
  <c r="DM20" i="18"/>
  <c r="DM9" i="18" s="1"/>
  <c r="CQ20" i="18" s="1"/>
  <c r="DS19" i="18"/>
  <c r="DP19" i="18"/>
  <c r="DM19" i="18"/>
  <c r="DS18" i="18"/>
  <c r="DP18" i="18"/>
  <c r="DM18" i="18"/>
  <c r="DS17" i="18"/>
  <c r="DP17" i="18"/>
  <c r="DM17" i="18"/>
  <c r="DS16" i="18"/>
  <c r="DP16" i="18"/>
  <c r="DM16" i="18"/>
  <c r="DS15" i="18"/>
  <c r="DP15" i="18"/>
  <c r="DM15" i="18"/>
  <c r="DO8" i="18"/>
  <c r="DO5" i="18" s="1"/>
  <c r="CU3" i="17"/>
  <c r="CU20" i="17" s="1"/>
  <c r="DM6" i="18" l="1"/>
  <c r="CQ16" i="18" s="1"/>
  <c r="DR6" i="18"/>
  <c r="DU6" i="18"/>
  <c r="CU12" i="17"/>
  <c r="CU21" i="17"/>
  <c r="CU17" i="17"/>
  <c r="CU22" i="17"/>
  <c r="CU6" i="17"/>
  <c r="CU19" i="17"/>
  <c r="F77" i="12" l="1"/>
  <c r="BF23" i="12" s="1"/>
  <c r="BK65" i="12" l="1"/>
  <c r="BK61" i="12"/>
  <c r="BK63" i="12"/>
  <c r="BK59" i="12"/>
  <c r="BK45" i="12"/>
  <c r="BK43" i="12"/>
  <c r="BK41" i="12"/>
  <c r="BK47" i="12"/>
  <c r="AR4" i="12"/>
  <c r="BS61" i="12"/>
  <c r="CA61" i="12" s="1"/>
  <c r="BS65" i="12"/>
  <c r="CA65" i="12" s="1"/>
  <c r="BS63" i="12"/>
  <c r="CA63" i="12" s="1"/>
  <c r="BS59" i="12"/>
  <c r="CA59" i="12" s="1"/>
  <c r="BK32" i="12"/>
  <c r="BK36" i="12"/>
  <c r="BK34" i="12"/>
  <c r="BK38" i="12"/>
  <c r="BK52" i="12"/>
  <c r="BK54" i="12"/>
  <c r="BK56" i="12"/>
  <c r="BK50" i="12"/>
  <c r="BK72" i="12"/>
  <c r="CI72" i="12" s="1"/>
  <c r="BK70" i="12"/>
  <c r="CI70" i="12" s="1"/>
  <c r="AP70" i="12" s="1"/>
  <c r="BK68" i="12"/>
  <c r="CI68" i="12" s="1"/>
  <c r="BK74" i="12"/>
  <c r="CI74" i="12" s="1"/>
  <c r="CI61" i="12"/>
  <c r="AP61" i="12" s="1"/>
  <c r="BS43" i="12"/>
  <c r="BS45" i="12"/>
  <c r="BS47" i="12"/>
  <c r="BS41" i="12"/>
  <c r="BS56" i="12"/>
  <c r="BS54" i="12"/>
  <c r="BS52" i="12"/>
  <c r="BS50" i="12"/>
  <c r="BS38" i="12"/>
  <c r="BS36" i="12"/>
  <c r="BS34" i="12"/>
  <c r="BS32" i="12"/>
  <c r="CI32" i="12" s="1"/>
  <c r="BK29" i="12"/>
  <c r="BS25" i="12"/>
  <c r="CA25" i="12" s="1"/>
  <c r="BS27" i="12"/>
  <c r="CA27" i="12" s="1"/>
  <c r="BS29" i="12"/>
  <c r="BS23" i="12"/>
  <c r="CA23" i="12" s="1"/>
  <c r="BK27" i="12"/>
  <c r="BK25" i="12"/>
  <c r="BK23" i="12"/>
  <c r="CI23" i="12" s="1"/>
  <c r="CI36" i="12" l="1"/>
  <c r="AP36" i="12" s="1"/>
  <c r="CI34" i="12"/>
  <c r="AP34" i="12" s="1"/>
  <c r="AP72" i="12"/>
  <c r="N20" i="21" s="1"/>
  <c r="AP68" i="12"/>
  <c r="CQ68" i="12" s="1"/>
  <c r="AP74" i="12"/>
  <c r="T20" i="21" s="1"/>
  <c r="CI59" i="12"/>
  <c r="CI45" i="12"/>
  <c r="AP45" i="12" s="1"/>
  <c r="CI41" i="12"/>
  <c r="CI43" i="12"/>
  <c r="CI47" i="12"/>
  <c r="CI63" i="12"/>
  <c r="CI65" i="12"/>
  <c r="CI38" i="12"/>
  <c r="AH8" i="21"/>
  <c r="N8" i="21"/>
  <c r="H20" i="21"/>
  <c r="H17" i="21"/>
  <c r="AB8" i="21"/>
  <c r="AB20" i="21"/>
  <c r="CQ70" i="12"/>
  <c r="AN20" i="21"/>
  <c r="AH20" i="21"/>
  <c r="AB17" i="21"/>
  <c r="CQ61" i="12"/>
  <c r="CI50" i="12"/>
  <c r="CA50" i="12"/>
  <c r="CI52" i="12"/>
  <c r="AP52" i="12" s="1"/>
  <c r="CA52" i="12"/>
  <c r="CI54" i="12"/>
  <c r="CA54" i="12"/>
  <c r="CI56" i="12"/>
  <c r="AP56" i="12" s="1"/>
  <c r="T14" i="21" s="1"/>
  <c r="CA56" i="12"/>
  <c r="CA47" i="12"/>
  <c r="CA41" i="12"/>
  <c r="CA43" i="12"/>
  <c r="CA45" i="12"/>
  <c r="CA32" i="12"/>
  <c r="CA36" i="12"/>
  <c r="CA38" i="12"/>
  <c r="CI29" i="12"/>
  <c r="AP29" i="12" s="1"/>
  <c r="CA29" i="12"/>
  <c r="CA34" i="12"/>
  <c r="CI25" i="12"/>
  <c r="AP25" i="12" s="1"/>
  <c r="CI27" i="12"/>
  <c r="AP27" i="12" s="1"/>
  <c r="CQ34" i="12" l="1"/>
  <c r="CQ72" i="12"/>
  <c r="CQ74" i="12"/>
  <c r="AH11" i="21"/>
  <c r="AP65" i="12"/>
  <c r="T17" i="21" s="1"/>
  <c r="AP63" i="12"/>
  <c r="CQ63" i="12" s="1"/>
  <c r="N11" i="21"/>
  <c r="CQ45" i="12"/>
  <c r="AP54" i="12"/>
  <c r="N14" i="21" s="1"/>
  <c r="AP47" i="12"/>
  <c r="T11" i="21" s="1"/>
  <c r="AB11" i="21"/>
  <c r="AP43" i="12"/>
  <c r="AP23" i="12"/>
  <c r="AN8" i="21"/>
  <c r="AP38" i="12"/>
  <c r="T8" i="21" s="1"/>
  <c r="AB5" i="21"/>
  <c r="H5" i="21"/>
  <c r="AN5" i="21"/>
  <c r="AH5" i="21"/>
  <c r="AN11" i="21"/>
  <c r="AH17" i="21"/>
  <c r="AN17" i="21"/>
  <c r="CQ36" i="12"/>
  <c r="H14" i="21"/>
  <c r="T5" i="21"/>
  <c r="H8" i="21"/>
  <c r="AV20" i="21"/>
  <c r="AH14" i="21"/>
  <c r="CQ56" i="12"/>
  <c r="AN14" i="21"/>
  <c r="CQ52" i="12"/>
  <c r="AB14" i="21"/>
  <c r="CQ65" i="12" l="1"/>
  <c r="AP59" i="12"/>
  <c r="CQ59" i="12" s="1"/>
  <c r="N17" i="21"/>
  <c r="AV17" i="21" s="1"/>
  <c r="CQ54" i="12"/>
  <c r="AP50" i="12"/>
  <c r="CQ50" i="12" s="1"/>
  <c r="CQ47" i="12"/>
  <c r="AP41" i="12"/>
  <c r="CQ41" i="12" s="1"/>
  <c r="H11" i="21"/>
  <c r="AV11" i="21" s="1"/>
  <c r="CQ43" i="12"/>
  <c r="AP32" i="12"/>
  <c r="CQ32" i="12" s="1"/>
  <c r="AV8" i="21"/>
  <c r="CQ38" i="12"/>
  <c r="CQ29" i="12"/>
  <c r="AV14" i="21"/>
  <c r="CQ27" i="12"/>
  <c r="N5" i="21"/>
  <c r="AV5" i="21" s="1"/>
  <c r="CQ23" i="12"/>
  <c r="CQ25" i="12"/>
  <c r="CQ7" i="12" l="1"/>
  <c r="CQ9" i="12"/>
  <c r="L77" i="12" l="1"/>
  <c r="CQ4" i="12"/>
  <c r="CI4" i="12" l="1"/>
</calcChain>
</file>

<file path=xl/comments1.xml><?xml version="1.0" encoding="utf-8"?>
<comments xmlns="http://schemas.openxmlformats.org/spreadsheetml/2006/main">
  <authors>
    <author>国保年金課</author>
  </authors>
  <commentList>
    <comment ref="F23" authorId="0" shapeId="0">
      <text>
        <r>
          <rPr>
            <sz val="8"/>
            <color indexed="81"/>
            <rFont val="BIZ UDゴシック"/>
            <family val="3"/>
            <charset val="128"/>
          </rPr>
          <t>世帯主・国保加入者の令和５年中の所得の金額を入力してください
・収入ではなく所得金額を入力
　してください
・世帯主は国保に加入していな
　くても所得の金額を入力して
　ください</t>
        </r>
      </text>
    </comment>
    <comment ref="T23" authorId="0" shapeId="0">
      <text>
        <r>
          <rPr>
            <sz val="8"/>
            <color indexed="81"/>
            <rFont val="BIZ UDゴシック"/>
            <family val="3"/>
            <charset val="128"/>
          </rPr>
          <t>世帯主・国保加入者の
年齢を入力してください</t>
        </r>
      </text>
    </comment>
    <comment ref="L32" authorId="0" shapeId="0">
      <text>
        <r>
          <rPr>
            <sz val="8"/>
            <color indexed="81"/>
            <rFont val="BIZ UDゴシック"/>
            <family val="3"/>
            <charset val="128"/>
          </rPr>
          <t>必ず選択してください</t>
        </r>
      </text>
    </comment>
  </commentList>
</comments>
</file>

<file path=xl/comments2.xml><?xml version="1.0" encoding="utf-8"?>
<comments xmlns="http://schemas.openxmlformats.org/spreadsheetml/2006/main">
  <authors>
    <author>国保年金課</author>
  </authors>
  <commentList>
    <comment ref="F23" authorId="0" shapeId="0">
      <text>
        <r>
          <rPr>
            <sz val="8"/>
            <color indexed="81"/>
            <rFont val="BIZ UDゴシック"/>
            <family val="3"/>
            <charset val="128"/>
          </rPr>
          <t>世帯主・国保加入者の令和５年中の所得の金額を入力してください
・収入ではなく所得金額を入力
　してください
・世帯主は国保に加入していな
　くても所得の金額を入力して
　ください</t>
        </r>
      </text>
    </comment>
    <comment ref="T23" authorId="0" shapeId="0">
      <text>
        <r>
          <rPr>
            <sz val="8"/>
            <color indexed="81"/>
            <rFont val="BIZ UDゴシック"/>
            <family val="3"/>
            <charset val="128"/>
          </rPr>
          <t>世帯主・国保加入者の
年齢を入力してください</t>
        </r>
      </text>
    </comment>
    <comment ref="L32" authorId="0" shapeId="0">
      <text>
        <r>
          <rPr>
            <sz val="8"/>
            <color indexed="81"/>
            <rFont val="BIZ UDゴシック"/>
            <family val="3"/>
            <charset val="128"/>
          </rPr>
          <t>必ず選択してください</t>
        </r>
      </text>
    </comment>
  </commentList>
</comments>
</file>

<file path=xl/comments3.xml><?xml version="1.0" encoding="utf-8"?>
<comments xmlns="http://schemas.openxmlformats.org/spreadsheetml/2006/main">
  <authors>
    <author>SISUTEMU</author>
  </authors>
  <commentList>
    <comment ref="DO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その年の１月１日を入力</t>
        </r>
      </text>
    </comment>
  </commentList>
</comments>
</file>

<file path=xl/sharedStrings.xml><?xml version="1.0" encoding="utf-8"?>
<sst xmlns="http://schemas.openxmlformats.org/spreadsheetml/2006/main" count="932" uniqueCount="169">
  <si>
    <t>人</t>
    <rPh sb="0" eb="1">
      <t>ヒト</t>
    </rPh>
    <phoneticPr fontId="1"/>
  </si>
  <si>
    <t>世帯内の国保加入者</t>
    <rPh sb="0" eb="2">
      <t>セタイ</t>
    </rPh>
    <rPh sb="2" eb="3">
      <t>ナイ</t>
    </rPh>
    <rPh sb="4" eb="6">
      <t>コクホ</t>
    </rPh>
    <rPh sb="6" eb="9">
      <t>カニュウシャ</t>
    </rPh>
    <phoneticPr fontId="1"/>
  </si>
  <si>
    <t>割</t>
    <rPh sb="0" eb="1">
      <t>ワリ</t>
    </rPh>
    <phoneticPr fontId="1"/>
  </si>
  <si>
    <t>軽減</t>
    <rPh sb="0" eb="2">
      <t>ケイゲン</t>
    </rPh>
    <phoneticPr fontId="1"/>
  </si>
  <si>
    <t>円</t>
    <rPh sb="0" eb="1">
      <t>エン</t>
    </rPh>
    <phoneticPr fontId="1"/>
  </si>
  <si>
    <t>所得金額</t>
    <rPh sb="0" eb="2">
      <t>ショトク</t>
    </rPh>
    <rPh sb="2" eb="4">
      <t>キンガク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</si>
  <si>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</si>
  <si>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</si>
  <si>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世帯所得</t>
    <rPh sb="0" eb="2">
      <t>セタイ</t>
    </rPh>
    <rPh sb="2" eb="4">
      <t>ショトク</t>
    </rPh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</si>
  <si>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</si>
  <si>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均等割額</t>
    <rPh sb="0" eb="3">
      <t>キントウワリ</t>
    </rPh>
    <rPh sb="3" eb="4">
      <t>ガク</t>
    </rPh>
    <phoneticPr fontId="1"/>
  </si>
  <si>
    <t>所得割％</t>
    <rPh sb="0" eb="2">
      <t>ショトク</t>
    </rPh>
    <rPh sb="2" eb="3">
      <t>ワリ</t>
    </rPh>
    <phoneticPr fontId="1"/>
  </si>
  <si>
    <t>合計額</t>
    <rPh sb="0" eb="2">
      <t>ゴウケイ</t>
    </rPh>
    <rPh sb="2" eb="3">
      <t>ガク</t>
    </rPh>
    <phoneticPr fontId="1"/>
  </si>
  <si>
    <t>世帯主</t>
    <rPh sb="0" eb="3">
      <t>セタイヌシ</t>
    </rPh>
    <phoneticPr fontId="1"/>
  </si>
  <si>
    <t>加入者①</t>
    <rPh sb="0" eb="3">
      <t>カニュウシャ</t>
    </rPh>
    <phoneticPr fontId="1"/>
  </si>
  <si>
    <t>加入者②</t>
    <rPh sb="0" eb="3">
      <t>カニュウシャ</t>
    </rPh>
    <phoneticPr fontId="1"/>
  </si>
  <si>
    <t>加入者③</t>
    <rPh sb="0" eb="3">
      <t>カニュウシャ</t>
    </rPh>
    <phoneticPr fontId="1"/>
  </si>
  <si>
    <t>加入者④</t>
    <rPh sb="0" eb="3">
      <t>カニュウシャ</t>
    </rPh>
    <phoneticPr fontId="1"/>
  </si>
  <si>
    <t>加入者⑤</t>
    <rPh sb="0" eb="3">
      <t>カニュウシャ</t>
    </rPh>
    <phoneticPr fontId="1"/>
  </si>
  <si>
    <t>世帯主は国保に加入、</t>
    <rPh sb="0" eb="3">
      <t>セタイヌシ</t>
    </rPh>
    <rPh sb="4" eb="6">
      <t>コクホ</t>
    </rPh>
    <rPh sb="7" eb="9">
      <t>カニュウ</t>
    </rPh>
    <phoneticPr fontId="1"/>
  </si>
  <si>
    <t>している</t>
  </si>
  <si>
    <t>年税額</t>
    <rPh sb="0" eb="3">
      <t>ネンゼイガク</t>
    </rPh>
    <phoneticPr fontId="1"/>
  </si>
  <si>
    <t>一ヶ月あたり</t>
    <rPh sb="0" eb="3">
      <t>イッカゲツ</t>
    </rPh>
    <phoneticPr fontId="1"/>
  </si>
  <si>
    <t>※試算のため、実際に課税される内容とは異なる場合がございます。ご了承ください。</t>
    <rPh sb="1" eb="3">
      <t>シサン</t>
    </rPh>
    <rPh sb="7" eb="9">
      <t>ジッサイ</t>
    </rPh>
    <rPh sb="10" eb="12">
      <t>カゼイ</t>
    </rPh>
    <rPh sb="15" eb="17">
      <t>ナイヨウ</t>
    </rPh>
    <rPh sb="19" eb="20">
      <t>コト</t>
    </rPh>
    <rPh sb="22" eb="24">
      <t>バアイ</t>
    </rPh>
    <rPh sb="32" eb="34">
      <t>リョウショウ</t>
    </rPh>
    <phoneticPr fontId="1"/>
  </si>
  <si>
    <t>均等割額　未就学児</t>
    <rPh sb="0" eb="3">
      <t>キントウワリ</t>
    </rPh>
    <rPh sb="3" eb="4">
      <t>ガク</t>
    </rPh>
    <rPh sb="5" eb="9">
      <t>ミシュウガクジ</t>
    </rPh>
    <phoneticPr fontId="1"/>
  </si>
  <si>
    <t>均等割額　高校生まで</t>
    <rPh sb="0" eb="3">
      <t>キントウワリ</t>
    </rPh>
    <rPh sb="3" eb="4">
      <t>ガク</t>
    </rPh>
    <rPh sb="5" eb="8">
      <t>コウコウセイ</t>
    </rPh>
    <phoneticPr fontId="1"/>
  </si>
  <si>
    <t>給与の源泉徴収票　見本</t>
    <rPh sb="0" eb="2">
      <t>キュウヨ</t>
    </rPh>
    <rPh sb="3" eb="8">
      <t>ゲンセンチョウシュウヒョウ</t>
    </rPh>
    <rPh sb="9" eb="11">
      <t>ミホン</t>
    </rPh>
    <phoneticPr fontId="1"/>
  </si>
  <si>
    <t>給与</t>
    <rPh sb="0" eb="2">
      <t>キュウヨ</t>
    </rPh>
    <phoneticPr fontId="1"/>
  </si>
  <si>
    <t>令和３年度（令和２年中）</t>
    <rPh sb="0" eb="2">
      <t>レイワ</t>
    </rPh>
    <rPh sb="3" eb="5">
      <t>ネンド</t>
    </rPh>
    <rPh sb="6" eb="8">
      <t>レイワ</t>
    </rPh>
    <rPh sb="9" eb="11">
      <t>ネンチュウ</t>
    </rPh>
    <phoneticPr fontId="1"/>
  </si>
  <si>
    <r>
      <t>令和　　年分　　</t>
    </r>
    <r>
      <rPr>
        <b/>
        <sz val="16"/>
        <color theme="1"/>
        <rFont val="BIZ UDP明朝 Medium"/>
        <family val="1"/>
        <charset val="128"/>
      </rPr>
      <t>給与所得の源泉徴収票</t>
    </r>
    <rPh sb="0" eb="2">
      <t>レイワ</t>
    </rPh>
    <rPh sb="4" eb="6">
      <t>ネンブン</t>
    </rPh>
    <rPh sb="8" eb="10">
      <t>キュウヨ</t>
    </rPh>
    <rPh sb="10" eb="12">
      <t>ショトク</t>
    </rPh>
    <rPh sb="13" eb="15">
      <t>ゲンセン</t>
    </rPh>
    <rPh sb="15" eb="18">
      <t>チョウシュウヒョウ</t>
    </rPh>
    <phoneticPr fontId="1"/>
  </si>
  <si>
    <t>支 払
を受け
る 者</t>
    <rPh sb="0" eb="1">
      <t>シ</t>
    </rPh>
    <rPh sb="2" eb="3">
      <t>フツ</t>
    </rPh>
    <rPh sb="5" eb="6">
      <t>ウ</t>
    </rPh>
    <rPh sb="10" eb="11">
      <t>モノ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</si>
  <si>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</si>
  <si>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（受給者番号）</t>
    <rPh sb="1" eb="4">
      <t>ジュキュウシャ</t>
    </rPh>
    <rPh sb="4" eb="6">
      <t>バンゴウ</t>
    </rPh>
    <phoneticPr fontId="1"/>
  </si>
  <si>
    <t>収入金額</t>
    <rPh sb="0" eb="2">
      <t>シュウニュウ</t>
    </rPh>
    <rPh sb="2" eb="4">
      <t>キンガク</t>
    </rPh>
    <phoneticPr fontId="1"/>
  </si>
  <si>
    <t>（役職名）</t>
    <rPh sb="1" eb="4">
      <t>ヤクショクメイ</t>
    </rPh>
    <phoneticPr fontId="1"/>
  </si>
  <si>
    <t>氏名</t>
    <rPh sb="0" eb="2">
      <t>シメイ</t>
    </rPh>
    <phoneticPr fontId="1"/>
  </si>
  <si>
    <t>（フリガナ）</t>
    <phoneticPr fontId="1"/>
  </si>
  <si>
    <t>種                 別</t>
    <rPh sb="0" eb="1">
      <t>シュ</t>
    </rPh>
    <rPh sb="18" eb="19">
      <t>ベツ</t>
    </rPh>
    <phoneticPr fontId="1"/>
  </si>
  <si>
    <t>支　払　金　額</t>
    <rPh sb="0" eb="1">
      <t>シ</t>
    </rPh>
    <rPh sb="2" eb="3">
      <t>フツ</t>
    </rPh>
    <rPh sb="4" eb="5">
      <t>カネ</t>
    </rPh>
    <rPh sb="6" eb="7">
      <t>ガク</t>
    </rPh>
    <phoneticPr fontId="1"/>
  </si>
  <si>
    <t>給与所得控除後の金額</t>
    <rPh sb="0" eb="7">
      <t>キュウヨショトクコウジョゴ</t>
    </rPh>
    <rPh sb="8" eb="10">
      <t>キンガク</t>
    </rPh>
    <phoneticPr fontId="1"/>
  </si>
  <si>
    <t>所得控除の額の合計額</t>
    <rPh sb="0" eb="4">
      <t>ショトクコウジョ</t>
    </rPh>
    <rPh sb="5" eb="6">
      <t>ガク</t>
    </rPh>
    <rPh sb="7" eb="10">
      <t>ゴウケイガク</t>
    </rPh>
    <phoneticPr fontId="1"/>
  </si>
  <si>
    <t>源　泉　徴　収　税　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</si>
  <si>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</si>
  <si>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</si>
  <si>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（源泉）控除対象配偶者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</si>
  <si>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配偶者（特別）
控　除　の　額</t>
    <rPh sb="0" eb="3">
      <t>ハイグウシャ</t>
    </rPh>
    <rPh sb="4" eb="6">
      <t>トクベツ</t>
    </rPh>
    <rPh sb="8" eb="9">
      <t>ヒカエ</t>
    </rPh>
    <rPh sb="10" eb="11">
      <t>ジョ</t>
    </rPh>
    <rPh sb="14" eb="15">
      <t>ガク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</si>
  <si>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</si>
  <si>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</si>
  <si>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2">
      <t>ショウガイ</t>
    </rPh>
    <rPh sb="2" eb="3">
      <t>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</si>
  <si>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3">
      <t>キョジュウ</t>
    </rPh>
    <rPh sb="3" eb="4">
      <t>シャ</t>
    </rPh>
    <rPh sb="9" eb="11">
      <t>シンゾク</t>
    </rPh>
    <rPh sb="12" eb="13">
      <t>カズ</t>
    </rPh>
    <phoneticPr fontId="1"/>
  </si>
  <si>
    <t>の有無等</t>
    <rPh sb="1" eb="3">
      <t>ウム</t>
    </rPh>
    <rPh sb="3" eb="4">
      <t>トウ</t>
    </rPh>
    <phoneticPr fontId="1"/>
  </si>
  <si>
    <t>老人</t>
    <rPh sb="0" eb="2">
      <t>ロウジン</t>
    </rPh>
    <phoneticPr fontId="1"/>
  </si>
  <si>
    <t>特定</t>
    <rPh sb="0" eb="2">
      <t>トクテイ</t>
    </rPh>
    <phoneticPr fontId="1"/>
  </si>
  <si>
    <t>その他</t>
    <rPh sb="2" eb="3">
      <t>タ</t>
    </rPh>
    <phoneticPr fontId="1"/>
  </si>
  <si>
    <t>特別</t>
    <rPh sb="0" eb="2">
      <t>トクベツ</t>
    </rPh>
    <phoneticPr fontId="1"/>
  </si>
  <si>
    <t>～</t>
    <phoneticPr fontId="1"/>
  </si>
  <si>
    <t>有</t>
    <rPh sb="0" eb="1">
      <t>アリ</t>
    </rPh>
    <phoneticPr fontId="1"/>
  </si>
  <si>
    <t>従有</t>
    <rPh sb="0" eb="1">
      <t>シタガ</t>
    </rPh>
    <rPh sb="1" eb="2">
      <t>アリ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</si>
  <si>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</si>
  <si>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</si>
  <si>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phoneticPr fontId="1"/>
  </si>
  <si>
    <t>人</t>
    <phoneticPr fontId="1"/>
  </si>
  <si>
    <t>社会保険料等の金額</t>
    <rPh sb="0" eb="5">
      <t>シャカイホケンリョウ</t>
    </rPh>
    <rPh sb="5" eb="6">
      <t>ナド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</si>
  <si>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</si>
  <si>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5">
      <t>ジシンホケンリョウ</t>
    </rPh>
    <rPh sb="6" eb="9">
      <t>コウジョガク</t>
    </rPh>
    <phoneticPr fontId="1"/>
  </si>
  <si>
    <t>住宅借入金等特別控除の額</t>
    <rPh sb="0" eb="5">
      <t>ジュウタクカリイレキン</t>
    </rPh>
    <rPh sb="5" eb="6">
      <t>トウ</t>
    </rPh>
    <rPh sb="6" eb="10">
      <t>トクベツコウジョ</t>
    </rPh>
    <rPh sb="11" eb="12">
      <t>ガク</t>
    </rPh>
    <phoneticPr fontId="1"/>
  </si>
  <si>
    <t>内　　　　　　　　　　　　　千</t>
    <rPh sb="0" eb="1">
      <t>ウチ</t>
    </rPh>
    <phoneticPr fontId="1"/>
  </si>
  <si>
    <t>円</t>
    <phoneticPr fontId="1"/>
  </si>
  <si>
    <t>千</t>
    <phoneticPr fontId="1"/>
  </si>
  <si>
    <t>（摘要）</t>
    <rPh sb="1" eb="3">
      <t>テキヨウ</t>
    </rPh>
    <phoneticPr fontId="1"/>
  </si>
  <si>
    <t>年金（雑所得）</t>
    <rPh sb="0" eb="2">
      <t>ネンキン</t>
    </rPh>
    <rPh sb="3" eb="4">
      <t>ザツ</t>
    </rPh>
    <rPh sb="4" eb="6">
      <t>ショトク</t>
    </rPh>
    <phoneticPr fontId="1"/>
  </si>
  <si>
    <r>
      <rPr>
        <sz val="12"/>
        <color theme="1"/>
        <rFont val="BIZ UDPゴシック"/>
        <family val="3"/>
        <charset val="128"/>
      </rPr>
      <t>令和　　年分</t>
    </r>
    <r>
      <rPr>
        <sz val="14"/>
        <color theme="1"/>
        <rFont val="BIZ UDP明朝 Medium"/>
        <family val="1"/>
        <charset val="128"/>
      </rPr>
      <t>　　</t>
    </r>
    <r>
      <rPr>
        <b/>
        <sz val="14"/>
        <color theme="2" tint="-0.749992370372631"/>
        <rFont val="BIZ UDP明朝 Medium"/>
        <family val="1"/>
        <charset val="128"/>
      </rPr>
      <t>公的年金等の源泉徴収票</t>
    </r>
    <rPh sb="0" eb="2">
      <t>レイワ</t>
    </rPh>
    <rPh sb="4" eb="6">
      <t>ネンブン</t>
    </rPh>
    <rPh sb="8" eb="10">
      <t>コウテキ</t>
    </rPh>
    <rPh sb="10" eb="12">
      <t>ネンキン</t>
    </rPh>
    <rPh sb="12" eb="13">
      <t>トウ</t>
    </rPh>
    <rPh sb="14" eb="16">
      <t>ゲンセン</t>
    </rPh>
    <rPh sb="16" eb="19">
      <t>チョウシュウヒョウ</t>
    </rPh>
    <phoneticPr fontId="1"/>
  </si>
  <si>
    <t>個人番号</t>
    <rPh sb="0" eb="2">
      <t>コジン</t>
    </rPh>
    <rPh sb="2" eb="4">
      <t>バンゴウ</t>
    </rPh>
    <phoneticPr fontId="1"/>
  </si>
  <si>
    <t>支払を
受ける者</t>
    <rPh sb="0" eb="2">
      <t>シハラ</t>
    </rPh>
    <rPh sb="4" eb="5">
      <t>ウ</t>
    </rPh>
    <rPh sb="7" eb="8">
      <t>モノ</t>
    </rPh>
    <phoneticPr fontId="1"/>
  </si>
  <si>
    <t>住　　所</t>
    <rPh sb="0" eb="1">
      <t>ジュウ</t>
    </rPh>
    <rPh sb="3" eb="4">
      <t>ショ</t>
    </rPh>
    <phoneticPr fontId="1"/>
  </si>
  <si>
    <t>公的年金等雑所得以外の所得合計金額</t>
    <phoneticPr fontId="1"/>
  </si>
  <si>
    <r>
      <rPr>
        <sz val="8"/>
        <color theme="2" tint="-0.749992370372631"/>
        <rFont val="BIZ UDP明朝 Medium"/>
        <family val="1"/>
        <charset val="128"/>
      </rPr>
      <t>（フリガナ</t>
    </r>
    <r>
      <rPr>
        <sz val="9"/>
        <color theme="2" tint="-0.749992370372631"/>
        <rFont val="BIZ UDP明朝 Medium"/>
        <family val="1"/>
        <charset val="128"/>
      </rPr>
      <t xml:space="preserve">）
</t>
    </r>
    <r>
      <rPr>
        <sz val="11"/>
        <color theme="2" tint="-0.749992370372631"/>
        <rFont val="BIZ UDP明朝 Medium"/>
        <family val="1"/>
        <charset val="128"/>
      </rPr>
      <t>氏　　名</t>
    </r>
    <rPh sb="7" eb="8">
      <t>シ</t>
    </rPh>
    <rPh sb="10" eb="11">
      <t>メイ</t>
    </rPh>
    <phoneticPr fontId="1"/>
  </si>
  <si>
    <t>生　年
月　日</t>
    <rPh sb="0" eb="1">
      <t>セイ</t>
    </rPh>
    <rPh sb="2" eb="3">
      <t>ネン</t>
    </rPh>
    <rPh sb="4" eb="5">
      <t>ガツ</t>
    </rPh>
    <rPh sb="6" eb="7">
      <t>ヒ</t>
    </rPh>
    <phoneticPr fontId="1"/>
  </si>
  <si>
    <t>１　明治</t>
    <rPh sb="2" eb="4">
      <t>メイジ</t>
    </rPh>
    <phoneticPr fontId="1"/>
  </si>
  <si>
    <t>２　大正</t>
    <rPh sb="2" eb="4">
      <t>タイショウ</t>
    </rPh>
    <phoneticPr fontId="1"/>
  </si>
  <si>
    <t>３　昭和</t>
    <rPh sb="2" eb="4">
      <t>ショウワ</t>
    </rPh>
    <phoneticPr fontId="1"/>
  </si>
  <si>
    <t>４　平成</t>
    <rPh sb="2" eb="4">
      <t>ヘイセイ</t>
    </rPh>
    <phoneticPr fontId="1"/>
  </si>
  <si>
    <t>年金の支払金額</t>
    <rPh sb="0" eb="2">
      <t>ネンキン</t>
    </rPh>
    <rPh sb="3" eb="7">
      <t>シハライキンガク</t>
    </rPh>
    <phoneticPr fontId="1"/>
  </si>
  <si>
    <t>以降生まれ</t>
    <rPh sb="0" eb="2">
      <t>イコウ</t>
    </rPh>
    <rPh sb="2" eb="3">
      <t>ウ</t>
    </rPh>
    <phoneticPr fontId="1"/>
  </si>
  <si>
    <t>10,000,001～20,000,000以下</t>
    <rPh sb="21" eb="23">
      <t>イカ</t>
    </rPh>
    <phoneticPr fontId="1"/>
  </si>
  <si>
    <t>20,000,001以上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</si>
  <si>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</si>
  <si>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</si>
  <si>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</si>
  <si>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所得金額</t>
    <phoneticPr fontId="1"/>
  </si>
  <si>
    <t>６５歳未満</t>
    <rPh sb="2" eb="5">
      <t>サイミマン</t>
    </rPh>
    <phoneticPr fontId="1"/>
  </si>
  <si>
    <t>区　　　　　　　　　　　　　　　　分</t>
    <rPh sb="0" eb="1">
      <t>ク</t>
    </rPh>
    <rPh sb="17" eb="18">
      <t>ブン</t>
    </rPh>
    <phoneticPr fontId="1"/>
  </si>
  <si>
    <t>所得税法第２０３条の３第1号・第４号適用分</t>
    <rPh sb="0" eb="4">
      <t>ショトクゼイホウ</t>
    </rPh>
    <rPh sb="4" eb="5">
      <t>ダイ</t>
    </rPh>
    <rPh sb="8" eb="9">
      <t>ジョウ</t>
    </rPh>
    <rPh sb="11" eb="12">
      <t>ダイ</t>
    </rPh>
    <rPh sb="13" eb="14">
      <t>ゴウ</t>
    </rPh>
    <rPh sb="15" eb="16">
      <t>ダイ</t>
    </rPh>
    <rPh sb="17" eb="18">
      <t>ゴウ</t>
    </rPh>
    <rPh sb="18" eb="21">
      <t>テキヨウブン</t>
    </rPh>
    <phoneticPr fontId="1"/>
  </si>
  <si>
    <t>以前生まれ</t>
    <rPh sb="0" eb="2">
      <t>イゼン</t>
    </rPh>
    <rPh sb="2" eb="3">
      <t>ウ</t>
    </rPh>
    <phoneticPr fontId="1"/>
  </si>
  <si>
    <t>所得税法第２０３条の３第２号・第５号適用分</t>
    <rPh sb="0" eb="4">
      <t>ショトクゼイホウ</t>
    </rPh>
    <rPh sb="4" eb="5">
      <t>ダイ</t>
    </rPh>
    <rPh sb="8" eb="9">
      <t>ジョウ</t>
    </rPh>
    <rPh sb="11" eb="12">
      <t>ダイ</t>
    </rPh>
    <rPh sb="13" eb="14">
      <t>ゴウ</t>
    </rPh>
    <rPh sb="15" eb="16">
      <t>ダイ</t>
    </rPh>
    <rPh sb="17" eb="18">
      <t>ゴウ</t>
    </rPh>
    <rPh sb="18" eb="21">
      <t>テキヨウブン</t>
    </rPh>
    <phoneticPr fontId="1"/>
  </si>
  <si>
    <t>６５歳以上</t>
  </si>
  <si>
    <t>所得税法第２０３条の３第３号・第６号適用分</t>
    <rPh sb="0" eb="4">
      <t>ショトクゼイホウ</t>
    </rPh>
    <rPh sb="4" eb="5">
      <t>ダイ</t>
    </rPh>
    <rPh sb="8" eb="9">
      <t>ジョウ</t>
    </rPh>
    <rPh sb="11" eb="12">
      <t>ダイ</t>
    </rPh>
    <rPh sb="13" eb="14">
      <t>ゴウ</t>
    </rPh>
    <rPh sb="15" eb="16">
      <t>ダイ</t>
    </rPh>
    <rPh sb="17" eb="18">
      <t>ゴウ</t>
    </rPh>
    <rPh sb="18" eb="21">
      <t>テキヨウブン</t>
    </rPh>
    <phoneticPr fontId="1"/>
  </si>
  <si>
    <t>所得税法第２０３条の３第７号適用分</t>
    <rPh sb="0" eb="4">
      <t>ショトクゼイホウ</t>
    </rPh>
    <rPh sb="4" eb="5">
      <t>ダイ</t>
    </rPh>
    <rPh sb="8" eb="9">
      <t>ジョウ</t>
    </rPh>
    <rPh sb="11" eb="12">
      <t>ダイ</t>
    </rPh>
    <rPh sb="13" eb="14">
      <t>ゴウ</t>
    </rPh>
    <rPh sb="14" eb="17">
      <t>テキヨウブン</t>
    </rPh>
    <phoneticPr fontId="1"/>
  </si>
  <si>
    <t>本　　　　　　人</t>
    <rPh sb="0" eb="1">
      <t>ホン</t>
    </rPh>
    <rPh sb="7" eb="8">
      <t>ニン</t>
    </rPh>
    <phoneticPr fontId="1"/>
  </si>
  <si>
    <t>源泉控除対象配偶者</t>
    <rPh sb="0" eb="2">
      <t>ゲンセン</t>
    </rPh>
    <rPh sb="2" eb="4">
      <t>コウジョ</t>
    </rPh>
    <rPh sb="4" eb="6">
      <t>タイショウ</t>
    </rPh>
    <rPh sb="6" eb="9">
      <t>ハイグウシャ</t>
    </rPh>
    <phoneticPr fontId="1"/>
  </si>
  <si>
    <t>控除対象扶養親族の数</t>
    <rPh sb="0" eb="4">
      <t>コウジョタイショウ</t>
    </rPh>
    <rPh sb="4" eb="6">
      <t>フヨウ</t>
    </rPh>
    <rPh sb="6" eb="8">
      <t>シンゾク</t>
    </rPh>
    <rPh sb="9" eb="10">
      <t>カズ</t>
    </rPh>
    <phoneticPr fontId="1"/>
  </si>
  <si>
    <t>16歳未満
扶養親族
の数</t>
    <phoneticPr fontId="1"/>
  </si>
  <si>
    <t>障害者の数</t>
    <rPh sb="0" eb="3">
      <t>ショウガイシャ</t>
    </rPh>
    <rPh sb="4" eb="5">
      <t>カズ</t>
    </rPh>
    <phoneticPr fontId="1"/>
  </si>
  <si>
    <t>社会保険料の額</t>
    <rPh sb="0" eb="2">
      <t>シャカイ</t>
    </rPh>
    <rPh sb="2" eb="5">
      <t>ホケンリョウ</t>
    </rPh>
    <rPh sb="6" eb="7">
      <t>ガク</t>
    </rPh>
    <phoneticPr fontId="1"/>
  </si>
  <si>
    <t>特別
障害者</t>
    <rPh sb="0" eb="2">
      <t>トクベツ</t>
    </rPh>
    <rPh sb="3" eb="6">
      <t>ショウガイシャ</t>
    </rPh>
    <phoneticPr fontId="1"/>
  </si>
  <si>
    <t>その他の
障害者</t>
    <rPh sb="2" eb="3">
      <t>タ</t>
    </rPh>
    <rPh sb="5" eb="8">
      <t>ショウガイシャ</t>
    </rPh>
    <phoneticPr fontId="1"/>
  </si>
  <si>
    <t>特別
寡婦</t>
    <rPh sb="0" eb="2">
      <t>トクベツ</t>
    </rPh>
    <rPh sb="3" eb="5">
      <t>カフ</t>
    </rPh>
    <phoneticPr fontId="1"/>
  </si>
  <si>
    <t>寡婦
寡夫</t>
    <rPh sb="0" eb="2">
      <t>カフ</t>
    </rPh>
    <rPh sb="3" eb="5">
      <t>カフ</t>
    </rPh>
    <phoneticPr fontId="1"/>
  </si>
  <si>
    <t>一般</t>
    <rPh sb="0" eb="2">
      <t>イッパン</t>
    </rPh>
    <phoneticPr fontId="1"/>
  </si>
  <si>
    <t>老人</t>
    <rPh sb="0" eb="1">
      <t>ロウ</t>
    </rPh>
    <rPh sb="1" eb="2">
      <t>ジン</t>
    </rPh>
    <phoneticPr fontId="1"/>
  </si>
  <si>
    <t>公的年金収入金額</t>
    <rPh sb="0" eb="2">
      <t>コウテキ</t>
    </rPh>
    <rPh sb="2" eb="4">
      <t>ネンキン</t>
    </rPh>
    <rPh sb="4" eb="6">
      <t>シュウニュウ</t>
    </rPh>
    <rPh sb="6" eb="8">
      <t>キンガク</t>
    </rPh>
    <phoneticPr fontId="1"/>
  </si>
  <si>
    <t>源泉控除対象配偶者</t>
    <rPh sb="0" eb="6">
      <t>ゲンセンコウジョタイショウ</t>
    </rPh>
    <rPh sb="6" eb="9">
      <t>ハイグウシャ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</si>
  <si>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</si>
  <si>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</si>
  <si>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r>
      <rPr>
        <sz val="9"/>
        <color theme="1"/>
        <rFont val="Meiryo UI"/>
        <family val="3"/>
      </rPr>
      <t>65</t>
    </r>
    <r>
      <rPr>
        <sz val="9"/>
        <color theme="1"/>
        <rFont val="游ゴシック"/>
        <family val="3"/>
        <charset val="128"/>
      </rPr>
      <t>歳</t>
    </r>
    <r>
      <rPr>
        <sz val="9"/>
        <color theme="1"/>
        <rFont val="Meiryo UI"/>
        <family val="3"/>
        <charset val="128"/>
      </rPr>
      <t>未満</t>
    </r>
    <rPh sb="2" eb="3">
      <t>サイ</t>
    </rPh>
    <rPh sb="3" eb="5">
      <t>ミマン</t>
    </rPh>
    <phoneticPr fontId="1"/>
  </si>
  <si>
    <r>
      <rPr>
        <sz val="7"/>
        <color theme="2" tint="-0.749992370372631"/>
        <rFont val="BIZ UDP明朝 Medium"/>
        <family val="1"/>
        <charset val="128"/>
      </rPr>
      <t>（フリガナ）</t>
    </r>
    <r>
      <rPr>
        <sz val="8"/>
        <color theme="2" tint="-0.749992370372631"/>
        <rFont val="BIZ UDP明朝 Medium"/>
        <family val="1"/>
        <charset val="128"/>
      </rPr>
      <t xml:space="preserve">
氏　　名</t>
    </r>
    <phoneticPr fontId="1"/>
  </si>
  <si>
    <t>区分</t>
    <rPh sb="0" eb="2">
      <t>クブン</t>
    </rPh>
    <phoneticPr fontId="1"/>
  </si>
  <si>
    <t>配偶者の合計所得</t>
    <rPh sb="0" eb="3">
      <t>ハイグウシャ</t>
    </rPh>
    <rPh sb="4" eb="8">
      <t>ゴウケイショトク</t>
    </rPh>
    <phoneticPr fontId="1"/>
  </si>
  <si>
    <t>個人番号</t>
    <phoneticPr fontId="1"/>
  </si>
  <si>
    <r>
      <rPr>
        <sz val="9"/>
        <color theme="1"/>
        <rFont val="Meiryo UI"/>
        <family val="3"/>
      </rPr>
      <t>65</t>
    </r>
    <r>
      <rPr>
        <sz val="9"/>
        <color theme="1"/>
        <rFont val="游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</si>
  <si>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支払者</t>
    <rPh sb="0" eb="2">
      <t>シハラ</t>
    </rPh>
    <rPh sb="2" eb="3">
      <t>シャ</t>
    </rPh>
    <phoneticPr fontId="1"/>
  </si>
  <si>
    <t>法人番号</t>
    <rPh sb="0" eb="2">
      <t>ホウジン</t>
    </rPh>
    <rPh sb="2" eb="4">
      <t>バンゴウ</t>
    </rPh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</si>
  <si>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</si>
  <si>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</si>
  <si>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確定申告書　見本</t>
    <rPh sb="0" eb="5">
      <t>カクテイシンコクショ</t>
    </rPh>
    <rPh sb="6" eb="8">
      <t>ミホン</t>
    </rPh>
    <phoneticPr fontId="1"/>
  </si>
  <si>
    <t>確定申告書で入力する場合は、給与所得、年金所得以外の所得を入力してください。</t>
    <rPh sb="0" eb="5">
      <t>カクテイシンコクショ</t>
    </rPh>
    <rPh sb="6" eb="8">
      <t>ニュウリョク</t>
    </rPh>
    <rPh sb="10" eb="12">
      <t>バアイ</t>
    </rPh>
    <rPh sb="14" eb="16">
      <t>キュウヨ</t>
    </rPh>
    <rPh sb="16" eb="18">
      <t>ショトク</t>
    </rPh>
    <rPh sb="19" eb="23">
      <t>ネンキンショトク</t>
    </rPh>
    <rPh sb="23" eb="25">
      <t>イガイ</t>
    </rPh>
    <rPh sb="26" eb="28">
      <t>ショトク</t>
    </rPh>
    <rPh sb="29" eb="31">
      <t>ニュウリョク</t>
    </rPh>
    <phoneticPr fontId="1"/>
  </si>
  <si>
    <t>A</t>
    <phoneticPr fontId="1"/>
  </si>
  <si>
    <t>B</t>
    <phoneticPr fontId="1"/>
  </si>
  <si>
    <t>年金の所得金額</t>
    <rPh sb="0" eb="2">
      <t>ネンキン</t>
    </rPh>
    <rPh sb="3" eb="5">
      <t>ショトク</t>
    </rPh>
    <rPh sb="5" eb="7">
      <t>キンガク</t>
    </rPh>
    <phoneticPr fontId="1"/>
  </si>
  <si>
    <r>
      <t>年金の源泉徴収票　見本　　　</t>
    </r>
    <r>
      <rPr>
        <sz val="10"/>
        <color theme="8"/>
        <rFont val="BIZ UDPゴシック"/>
        <family val="3"/>
        <charset val="128"/>
      </rPr>
      <t>（受給している年金の種類によって、源泉徴収票は異なりますのでご注意ください。）</t>
    </r>
    <rPh sb="0" eb="2">
      <t>ネンキン</t>
    </rPh>
    <rPh sb="3" eb="8">
      <t>ゲンセンチョウシュウヒョウ</t>
    </rPh>
    <rPh sb="9" eb="11">
      <t>ミホン</t>
    </rPh>
    <rPh sb="15" eb="17">
      <t>ジュキュウ</t>
    </rPh>
    <rPh sb="21" eb="23">
      <t>ネンキン</t>
    </rPh>
    <rPh sb="24" eb="26">
      <t>シュルイ</t>
    </rPh>
    <rPh sb="31" eb="33">
      <t>ゲンセン</t>
    </rPh>
    <rPh sb="33" eb="36">
      <t>チョウシュウヒョウ</t>
    </rPh>
    <rPh sb="37" eb="38">
      <t>コト</t>
    </rPh>
    <rPh sb="45" eb="47">
      <t>チュウイ</t>
    </rPh>
    <phoneticPr fontId="1"/>
  </si>
  <si>
    <t>医療</t>
    <rPh sb="0" eb="2">
      <t>イリョウ</t>
    </rPh>
    <phoneticPr fontId="1"/>
  </si>
  <si>
    <t>支援</t>
    <rPh sb="0" eb="2">
      <t>シエン</t>
    </rPh>
    <phoneticPr fontId="1"/>
  </si>
  <si>
    <t>介護</t>
    <rPh sb="0" eb="2">
      <t>カイゴ</t>
    </rPh>
    <phoneticPr fontId="1"/>
  </si>
  <si>
    <t>税率</t>
    <rPh sb="0" eb="2">
      <t>ゼイリツ</t>
    </rPh>
    <phoneticPr fontId="1"/>
  </si>
  <si>
    <t>％</t>
    <phoneticPr fontId="1"/>
  </si>
  <si>
    <t>均等割</t>
    <rPh sb="0" eb="2">
      <t>キントウ</t>
    </rPh>
    <rPh sb="2" eb="3">
      <t>ワリ</t>
    </rPh>
    <phoneticPr fontId="1"/>
  </si>
  <si>
    <t>基礎控除</t>
    <rPh sb="0" eb="2">
      <t>キソ</t>
    </rPh>
    <rPh sb="2" eb="4">
      <t>コウジョ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</si>
  <si>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</si>
  <si>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</si>
  <si>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医</t>
    <rPh sb="0" eb="1">
      <t>イ</t>
    </rPh>
    <phoneticPr fontId="1"/>
  </si>
  <si>
    <t>支</t>
    <rPh sb="0" eb="1">
      <t>シ</t>
    </rPh>
    <phoneticPr fontId="1"/>
  </si>
  <si>
    <t>介</t>
    <rPh sb="0" eb="1">
      <t>スケ</t>
    </rPh>
    <phoneticPr fontId="1"/>
  </si>
  <si>
    <t>所得割額（限度額計算なし）</t>
    <rPh sb="0" eb="4">
      <t>ショトクワリガク</t>
    </rPh>
    <rPh sb="5" eb="8">
      <t>ゲンドガク</t>
    </rPh>
    <rPh sb="8" eb="10">
      <t>ケイサン</t>
    </rPh>
    <phoneticPr fontId="1"/>
  </si>
  <si>
    <t>介護判定</t>
    <rPh sb="0" eb="4">
      <t>カイゴハンテイ</t>
    </rPh>
    <phoneticPr fontId="1"/>
  </si>
  <si>
    <t>主</t>
    <rPh sb="0" eb="1">
      <t>ヌシ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</si>
  <si>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</si>
  <si>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</si>
  <si>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</si>
  <si>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</si>
  <si>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</si>
  <si>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均等割額　高校生まで（軽減額）</t>
    <rPh sb="0" eb="3">
      <t>キントウワリ</t>
    </rPh>
    <rPh sb="3" eb="4">
      <t>ガク</t>
    </rPh>
    <rPh sb="5" eb="8">
      <t>コウコウセイ</t>
    </rPh>
    <rPh sb="11" eb="14">
      <t>ケイゲンガク</t>
    </rPh>
    <phoneticPr fontId="1"/>
  </si>
  <si>
    <t>医療分</t>
    <rPh sb="0" eb="2">
      <t>イリョウ</t>
    </rPh>
    <rPh sb="2" eb="3">
      <t>フン</t>
    </rPh>
    <phoneticPr fontId="1"/>
  </si>
  <si>
    <t>支援分</t>
    <rPh sb="0" eb="2">
      <t>シエン</t>
    </rPh>
    <rPh sb="2" eb="3">
      <t>フン</t>
    </rPh>
    <phoneticPr fontId="1"/>
  </si>
  <si>
    <t>介護分</t>
    <rPh sb="0" eb="2">
      <t>カイゴ</t>
    </rPh>
    <rPh sb="2" eb="3">
      <t>フン</t>
    </rPh>
    <phoneticPr fontId="1"/>
  </si>
  <si>
    <t>※端数処理の関係で合計額が一致しない場合がございます。ご了承ください。</t>
    <rPh sb="1" eb="5">
      <t>ハスウショリ</t>
    </rPh>
    <rPh sb="6" eb="8">
      <t>カンケイ</t>
    </rPh>
    <rPh sb="9" eb="12">
      <t>ゴウケイガク</t>
    </rPh>
    <rPh sb="13" eb="15">
      <t>イッチ</t>
    </rPh>
    <rPh sb="18" eb="20">
      <t>バアイ</t>
    </rPh>
    <rPh sb="28" eb="30">
      <t>リョウショウ</t>
    </rPh>
    <phoneticPr fontId="1"/>
  </si>
  <si>
    <t>65歳以上</t>
    <rPh sb="2" eb="3">
      <t>サイ</t>
    </rPh>
    <rPh sb="3" eb="5">
      <t>イジョウ</t>
    </rPh>
    <phoneticPr fontId="1"/>
  </si>
  <si>
    <t>（限度額考慮なし）介護あり</t>
    <rPh sb="1" eb="4">
      <t>ゲンドガク</t>
    </rPh>
    <rPh sb="4" eb="6">
      <t>コウリョ</t>
    </rPh>
    <rPh sb="9" eb="11">
      <t>カイゴ</t>
    </rPh>
    <phoneticPr fontId="1"/>
  </si>
  <si>
    <t>（限度額考慮なし）介護なし</t>
    <rPh sb="1" eb="4">
      <t>ゲンドガク</t>
    </rPh>
    <rPh sb="4" eb="6">
      <t>コウリョ</t>
    </rPh>
    <rPh sb="9" eb="11">
      <t>カイゴ</t>
    </rPh>
    <phoneticPr fontId="1"/>
  </si>
  <si>
    <t>限度額</t>
    <rPh sb="0" eb="3">
      <t>ゲンドガク</t>
    </rPh>
    <phoneticPr fontId="1"/>
  </si>
  <si>
    <t>介護有</t>
    <rPh sb="0" eb="2">
      <t>カイゴ</t>
    </rPh>
    <rPh sb="2" eb="3">
      <t>アリ</t>
    </rPh>
    <phoneticPr fontId="1"/>
  </si>
  <si>
    <t>介護無</t>
    <rPh sb="0" eb="2">
      <t>カイゴ</t>
    </rPh>
    <rPh sb="2" eb="3">
      <t>ナシ</t>
    </rPh>
    <phoneticPr fontId="1"/>
  </si>
  <si>
    <t>65歳未満</t>
    <rPh sb="2" eb="5">
      <t>サイミマン</t>
    </rPh>
    <phoneticPr fontId="1"/>
  </si>
  <si>
    <t>入力時の
注意事項</t>
    <rPh sb="0" eb="3">
      <t>ニュウリョクジ</t>
    </rPh>
    <rPh sb="5" eb="9">
      <t>チュウイジコウ</t>
    </rPh>
    <phoneticPr fontId="1"/>
  </si>
  <si>
    <t>👉</t>
    <phoneticPr fontId="1"/>
  </si>
  <si>
    <t>世帯主の国保加入有無を選択してください</t>
    <rPh sb="0" eb="3">
      <t>セタイヌシ</t>
    </rPh>
    <rPh sb="4" eb="10">
      <t>コクホカニュウウム</t>
    </rPh>
    <rPh sb="11" eb="13">
      <t>センタク</t>
    </rPh>
    <phoneticPr fontId="1"/>
  </si>
  <si>
    <t>世帯主と加入者の年齢を入力してください</t>
    <rPh sb="0" eb="3">
      <t>セタイヌシ</t>
    </rPh>
    <rPh sb="4" eb="7">
      <t>カニュウシャ</t>
    </rPh>
    <rPh sb="8" eb="10">
      <t>ネンレイ</t>
    </rPh>
    <rPh sb="11" eb="13">
      <t>ニュウリョク</t>
    </rPh>
    <phoneticPr fontId="1"/>
  </si>
  <si>
    <t>【令和７年度】あなたの世帯の保険税額は？</t>
    <rPh sb="1" eb="3">
      <t>レイワ</t>
    </rPh>
    <rPh sb="4" eb="6">
      <t>ネンド</t>
    </rPh>
    <rPh sb="11" eb="13">
      <t>セタイ</t>
    </rPh>
    <rPh sb="14" eb="16">
      <t>ホケン</t>
    </rPh>
    <rPh sb="16" eb="17">
      <t>ゼイ</t>
    </rPh>
    <rPh sb="17" eb="18">
      <t>ガク</t>
    </rPh>
    <phoneticPr fontId="1"/>
  </si>
  <si>
    <t xml:space="preserve"> 国保加入者の所得（令和６年中）や人数・年齢に応じて、年度（４月から翌年３月）ごとに計算します</t>
    <rPh sb="1" eb="3">
      <t>コクホ</t>
    </rPh>
    <rPh sb="3" eb="6">
      <t>カニュウシャ</t>
    </rPh>
    <rPh sb="7" eb="9">
      <t>ショトク</t>
    </rPh>
    <rPh sb="10" eb="12">
      <t>レイワ</t>
    </rPh>
    <rPh sb="13" eb="14">
      <t>ネン</t>
    </rPh>
    <rPh sb="14" eb="15">
      <t>ナカ</t>
    </rPh>
    <rPh sb="17" eb="19">
      <t>ニンズウ</t>
    </rPh>
    <rPh sb="20" eb="22">
      <t>ネンレイ</t>
    </rPh>
    <rPh sb="23" eb="24">
      <t>オウ</t>
    </rPh>
    <rPh sb="27" eb="29">
      <t>ネンド</t>
    </rPh>
    <rPh sb="31" eb="32">
      <t>ツキ</t>
    </rPh>
    <rPh sb="34" eb="36">
      <t>ヨクネン</t>
    </rPh>
    <rPh sb="37" eb="38">
      <t>ツキ</t>
    </rPh>
    <rPh sb="42" eb="44">
      <t>ケイサン</t>
    </rPh>
    <phoneticPr fontId="1"/>
  </si>
  <si>
    <t>令和６年中の所得金額を入力してください（所得がない方は０を入力してください）</t>
    <rPh sb="0" eb="2">
      <t>レイワ</t>
    </rPh>
    <rPh sb="3" eb="4">
      <t>ネン</t>
    </rPh>
    <rPh sb="4" eb="5">
      <t>ナカ</t>
    </rPh>
    <rPh sb="6" eb="10">
      <t>ショトクキンガク</t>
    </rPh>
    <rPh sb="11" eb="13">
      <t>ニュウリョク</t>
    </rPh>
    <rPh sb="20" eb="22">
      <t>ショトク</t>
    </rPh>
    <rPh sb="25" eb="26">
      <t>カタ</t>
    </rPh>
    <rPh sb="29" eb="3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</si>
</sst>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_ "/>
    <numFmt numFmtId="177" formatCode="#,##0_ "/>
    <numFmt numFmtId="178" formatCode="0.00_ "/>
    <numFmt numFmtId="179" formatCode="0.0_ "/>
    <numFmt numFmtId="180" formatCode="[$-411]ge\.m\.d;@"/>
    <numFmt numFmtId="181" formatCode="#,##0_ &quot;円&quot;"/>
    <numFmt numFmtId="182" formatCode="#,##0_);[Red]\(#,##0\)"/>
    <numFmt numFmtId="183" formatCode="#,##0.00_ "/>
    <numFmt numFmtId="184" formatCode="0_);[Red]\(0\)"/>
  </numFmts>
  <fonts count="5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3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color theme="4" tint="-0.249977111117893"/>
      <name val="BIZ UDゴシック"/>
      <family val="3"/>
      <charset val="128"/>
    </font>
    <font>
      <b/>
      <sz val="13"/>
      <color theme="4" tint="-0.249977111117893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16"/>
      <color theme="8"/>
      <name val="BIZ UDPゴシック"/>
      <family val="3"/>
      <charset val="128"/>
    </font>
    <font>
      <sz val="8"/>
      <color theme="0" tint="-0.499984740745262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sz val="16"/>
      <color theme="1"/>
      <name val="HG行書体"/>
      <family val="4"/>
      <charset val="128"/>
    </font>
    <font>
      <sz val="10"/>
      <color theme="1"/>
      <name val="Meiryo UI"/>
      <family val="3"/>
      <charset val="128"/>
    </font>
    <font>
      <sz val="14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0"/>
      <color theme="2" tint="-0.749992370372631"/>
      <name val="BIZ UDP明朝 Medium"/>
      <family val="1"/>
      <charset val="128"/>
    </font>
    <font>
      <sz val="9"/>
      <color theme="2" tint="-0.749992370372631"/>
      <name val="BIZ UDP明朝 Medium"/>
      <family val="1"/>
      <charset val="128"/>
    </font>
    <font>
      <sz val="8"/>
      <color theme="2" tint="-0.749992370372631"/>
      <name val="BIZ UDP明朝 Medium"/>
      <family val="1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color theme="1"/>
      <name val="Meiryo UI"/>
      <family val="3"/>
      <charset val="128"/>
    </font>
    <font>
      <sz val="7"/>
      <color theme="2" tint="-0.749992370372631"/>
      <name val="BIZ UDP明朝 Medium"/>
      <family val="1"/>
      <charset val="128"/>
    </font>
    <font>
      <sz val="9"/>
      <color theme="1"/>
      <name val="Meiryo UI"/>
      <family val="3"/>
      <charset val="128"/>
    </font>
    <font>
      <sz val="11"/>
      <color theme="2" tint="-0.74999237037263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0"/>
      <color theme="8"/>
      <name val="BIZ UDPゴシック"/>
      <family val="3"/>
      <charset val="128"/>
    </font>
    <font>
      <sz val="8"/>
      <color theme="8"/>
      <name val="BIZ UDP明朝 Medium"/>
      <family val="1"/>
      <charset val="128"/>
    </font>
    <font>
      <sz val="12"/>
      <color theme="1"/>
      <name val="BIZ UDPゴシック"/>
      <family val="3"/>
      <charset val="128"/>
    </font>
    <font>
      <b/>
      <sz val="14"/>
      <color theme="2" tint="-0.749992370372631"/>
      <name val="BIZ UDP明朝 Medium"/>
      <family val="1"/>
      <charset val="128"/>
    </font>
    <font>
      <b/>
      <sz val="10"/>
      <color theme="2" tint="-0.749992370372631"/>
      <name val="Meiryo UI"/>
      <family val="3"/>
      <charset val="128"/>
    </font>
    <font>
      <sz val="12"/>
      <name val="Meiryo UI"/>
      <family val="3"/>
      <charset val="128"/>
    </font>
    <font>
      <sz val="10"/>
      <color theme="2" tint="-0.74999237037263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rgb="FF333333"/>
      <name val="ＭＳ Ｐゴシック"/>
      <family val="3"/>
      <charset val="128"/>
    </font>
    <font>
      <b/>
      <sz val="10"/>
      <color theme="0"/>
      <name val="Meiryo UI"/>
      <family val="3"/>
      <charset val="128"/>
    </font>
    <font>
      <sz val="6"/>
      <color theme="2" tint="-0.749992370372631"/>
      <name val="BIZ UDP明朝 Medium"/>
      <family val="1"/>
      <charset val="128"/>
    </font>
    <font>
      <sz val="9"/>
      <name val="Meiryo UI"/>
      <family val="3"/>
      <charset val="128"/>
    </font>
    <font>
      <sz val="14"/>
      <color theme="1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9"/>
      <color theme="1"/>
      <name val="Meiryo UI"/>
      <family val="3"/>
    </font>
    <font>
      <sz val="9"/>
      <color theme="1"/>
      <name val="游ゴシック"/>
      <family val="3"/>
      <charset val="128"/>
    </font>
    <font>
      <sz val="11"/>
      <color theme="2" tint="-0.74999237037263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4" tint="-0.249977111117893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BIZ UDゴシック"/>
      <family val="3"/>
      <charset val="128"/>
    </font>
    <font>
      <b/>
      <sz val="13"/>
      <name val="BIZ UDゴシック"/>
      <family val="3"/>
      <charset val="128"/>
    </font>
    <font>
      <sz val="8"/>
      <color indexed="81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2" tint="-0.749992370372631"/>
      </bottom>
      <diagonal/>
    </border>
    <border>
      <left/>
      <right/>
      <top style="thin">
        <color theme="0"/>
      </top>
      <bottom style="thick">
        <color theme="2" tint="-0.749992370372631"/>
      </bottom>
      <diagonal/>
    </border>
    <border>
      <left/>
      <right style="thin">
        <color theme="0"/>
      </right>
      <top style="thin">
        <color theme="0"/>
      </top>
      <bottom style="thick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 style="thin">
        <color theme="2" tint="-0.749992370372631"/>
      </left>
      <right style="thick">
        <color theme="2" tint="-0.749992370372631"/>
      </right>
      <top/>
      <bottom style="thin">
        <color theme="2" tint="-0.74999237037263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ck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 style="thick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thick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dotted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dotted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ck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ck">
        <color theme="2" tint="-0.749992370372631"/>
      </bottom>
      <diagonal/>
    </border>
    <border>
      <left style="thin">
        <color theme="2" tint="-0.749992370372631"/>
      </left>
      <right style="thick">
        <color theme="2" tint="-0.749992370372631"/>
      </right>
      <top style="thin">
        <color theme="2" tint="-0.749992370372631"/>
      </top>
      <bottom style="thick">
        <color theme="2" tint="-0.749992370372631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1"/>
      </left>
      <right style="thin">
        <color theme="2" tint="-0.499984740745262"/>
      </right>
      <top style="medium">
        <color theme="1"/>
      </top>
      <bottom style="medium">
        <color theme="1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1"/>
      </top>
      <bottom style="medium">
        <color theme="1"/>
      </bottom>
      <diagonal/>
    </border>
    <border>
      <left style="thin">
        <color theme="2" tint="-0.499984740745262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2" tint="-0.499984740745262"/>
      </right>
      <top style="medium">
        <color theme="1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1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medium">
        <color theme="1"/>
      </top>
      <bottom style="thin">
        <color theme="2" tint="-0.499984740745262"/>
      </bottom>
      <diagonal/>
    </border>
    <border>
      <left style="medium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 style="medium">
        <color theme="1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1"/>
      </left>
      <right style="thin">
        <color theme="2" tint="-0.499984740745262"/>
      </right>
      <top style="thin">
        <color theme="1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1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1"/>
      </right>
      <top style="thin">
        <color theme="1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thin">
        <color theme="2" tint="-0.499984740745262"/>
      </left>
      <right style="thin">
        <color theme="1"/>
      </right>
      <top style="thin">
        <color theme="2" tint="-0.499984740745262"/>
      </top>
      <bottom style="thin">
        <color theme="1"/>
      </bottom>
      <diagonal/>
    </border>
    <border>
      <left style="medium">
        <color theme="1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 style="thin">
        <color theme="2" tint="-0.499984740745262"/>
      </right>
      <top style="thin">
        <color theme="2" tint="-0.499984740745262"/>
      </top>
      <bottom style="medium">
        <color theme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1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vertical="center"/>
    </xf>
    <xf numFmtId="0" fontId="2" fillId="3" borderId="0" xfId="0" applyFont="1" applyFill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center" textRotation="255" shrinkToFit="1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center" textRotation="255" shrinkToFit="1"/>
    </xf>
    <xf numFmtId="0" fontId="7" fillId="0" borderId="2" xfId="0" applyFont="1" applyBorder="1" applyAlignment="1" applyProtection="1">
      <alignment vertical="center" shrinkToFit="1"/>
    </xf>
    <xf numFmtId="0" fontId="1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3" fillId="0" borderId="3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7" fillId="0" borderId="3" xfId="0" applyFont="1" applyFill="1" applyBorder="1">
      <alignment vertical="center"/>
    </xf>
    <xf numFmtId="0" fontId="17" fillId="0" borderId="7" xfId="0" applyFont="1" applyFill="1" applyBorder="1">
      <alignment vertical="center"/>
    </xf>
    <xf numFmtId="0" fontId="17" fillId="5" borderId="8" xfId="0" applyFont="1" applyFill="1" applyBorder="1">
      <alignment vertical="center"/>
    </xf>
    <xf numFmtId="0" fontId="17" fillId="0" borderId="9" xfId="0" applyFont="1" applyFill="1" applyBorder="1">
      <alignment vertical="center"/>
    </xf>
    <xf numFmtId="176" fontId="18" fillId="5" borderId="0" xfId="0" applyNumberFormat="1" applyFont="1" applyFill="1" applyBorder="1" applyAlignment="1">
      <alignment vertical="center"/>
    </xf>
    <xf numFmtId="0" fontId="17" fillId="0" borderId="0" xfId="0" applyFont="1">
      <alignment vertical="center"/>
    </xf>
    <xf numFmtId="0" fontId="13" fillId="0" borderId="7" xfId="0" applyFont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26" fillId="0" borderId="19" xfId="0" applyFont="1" applyBorder="1">
      <alignment vertical="center"/>
    </xf>
    <xf numFmtId="176" fontId="27" fillId="5" borderId="0" xfId="0" applyNumberFormat="1" applyFont="1" applyFill="1" applyBorder="1" applyAlignment="1">
      <alignment horizontal="center" vertical="center" shrinkToFit="1"/>
    </xf>
    <xf numFmtId="177" fontId="19" fillId="5" borderId="0" xfId="0" applyNumberFormat="1" applyFont="1" applyFill="1" applyBorder="1" applyAlignment="1">
      <alignment vertical="center" shrinkToFit="1"/>
    </xf>
    <xf numFmtId="0" fontId="16" fillId="0" borderId="14" xfId="0" applyFont="1" applyFill="1" applyBorder="1" applyAlignment="1">
      <alignment vertical="top"/>
    </xf>
    <xf numFmtId="177" fontId="29" fillId="5" borderId="39" xfId="0" applyNumberFormat="1" applyFont="1" applyFill="1" applyBorder="1" applyAlignment="1">
      <alignment vertical="center" shrinkToFit="1"/>
    </xf>
    <xf numFmtId="0" fontId="29" fillId="5" borderId="40" xfId="0" applyNumberFormat="1" applyFont="1" applyFill="1" applyBorder="1" applyAlignment="1">
      <alignment horizontal="center" vertical="center" shrinkToFit="1"/>
    </xf>
    <xf numFmtId="177" fontId="29" fillId="5" borderId="40" xfId="0" applyNumberFormat="1" applyFont="1" applyFill="1" applyBorder="1" applyAlignment="1">
      <alignment vertical="center" shrinkToFit="1"/>
    </xf>
    <xf numFmtId="177" fontId="29" fillId="5" borderId="37" xfId="0" applyNumberFormat="1" applyFont="1" applyFill="1" applyBorder="1" applyAlignment="1">
      <alignment vertical="center" shrinkToFit="1"/>
    </xf>
    <xf numFmtId="0" fontId="17" fillId="0" borderId="41" xfId="0" applyFont="1" applyFill="1" applyBorder="1" applyAlignment="1">
      <alignment vertical="center"/>
    </xf>
    <xf numFmtId="0" fontId="26" fillId="0" borderId="42" xfId="0" applyFont="1" applyBorder="1">
      <alignment vertical="center"/>
    </xf>
    <xf numFmtId="0" fontId="17" fillId="0" borderId="6" xfId="0" applyFont="1" applyFill="1" applyBorder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26" fillId="0" borderId="13" xfId="0" applyFont="1" applyBorder="1">
      <alignment vertical="center"/>
    </xf>
    <xf numFmtId="0" fontId="17" fillId="0" borderId="19" xfId="0" applyFont="1" applyFill="1" applyBorder="1">
      <alignment vertical="center"/>
    </xf>
    <xf numFmtId="0" fontId="16" fillId="0" borderId="46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36" xfId="0" applyFont="1" applyFill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26" fillId="0" borderId="36" xfId="0" applyFont="1" applyBorder="1">
      <alignment vertical="center"/>
    </xf>
    <xf numFmtId="0" fontId="17" fillId="0" borderId="42" xfId="0" applyFont="1" applyFill="1" applyBorder="1">
      <alignment vertical="center"/>
    </xf>
    <xf numFmtId="0" fontId="17" fillId="0" borderId="46" xfId="0" applyFont="1" applyFill="1" applyBorder="1">
      <alignment vertical="center"/>
    </xf>
    <xf numFmtId="0" fontId="17" fillId="5" borderId="48" xfId="0" applyFont="1" applyFill="1" applyBorder="1">
      <alignment vertical="center"/>
    </xf>
    <xf numFmtId="0" fontId="13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vertical="center"/>
    </xf>
    <xf numFmtId="0" fontId="26" fillId="7" borderId="0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3" fillId="5" borderId="8" xfId="0" applyFont="1" applyFill="1" applyBorder="1" applyAlignment="1">
      <alignment vertical="center"/>
    </xf>
    <xf numFmtId="0" fontId="31" fillId="5" borderId="8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26" fillId="5" borderId="8" xfId="0" applyFont="1" applyFill="1" applyBorder="1">
      <alignment vertical="center"/>
    </xf>
    <xf numFmtId="0" fontId="13" fillId="0" borderId="49" xfId="0" applyFont="1" applyBorder="1" applyAlignment="1">
      <alignment vertical="center"/>
    </xf>
    <xf numFmtId="0" fontId="31" fillId="0" borderId="49" xfId="0" applyFont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17" fillId="0" borderId="51" xfId="0" applyFont="1" applyBorder="1">
      <alignment vertical="center"/>
    </xf>
    <xf numFmtId="0" fontId="17" fillId="0" borderId="51" xfId="0" applyFont="1" applyFill="1" applyBorder="1">
      <alignment vertical="center"/>
    </xf>
    <xf numFmtId="0" fontId="17" fillId="0" borderId="18" xfId="0" applyFont="1" applyFill="1" applyBorder="1">
      <alignment vertical="center"/>
    </xf>
    <xf numFmtId="0" fontId="17" fillId="0" borderId="49" xfId="0" applyFont="1" applyFill="1" applyBorder="1">
      <alignment vertical="center"/>
    </xf>
    <xf numFmtId="176" fontId="19" fillId="0" borderId="0" xfId="0" applyNumberFormat="1" applyFont="1" applyFill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7" xfId="0" applyFont="1" applyFill="1" applyBorder="1" applyAlignment="1">
      <alignment vertical="center"/>
    </xf>
    <xf numFmtId="0" fontId="26" fillId="0" borderId="87" xfId="0" applyFont="1" applyBorder="1">
      <alignment vertical="center"/>
    </xf>
    <xf numFmtId="0" fontId="25" fillId="0" borderId="36" xfId="0" applyFont="1" applyBorder="1" applyAlignment="1">
      <alignment horizontal="center" vertical="center"/>
    </xf>
    <xf numFmtId="177" fontId="25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Alignment="1" applyProtection="1">
      <alignment vertical="center" shrinkToFit="1"/>
    </xf>
    <xf numFmtId="0" fontId="4" fillId="10" borderId="0" xfId="0" applyFont="1" applyFill="1" applyAlignment="1" applyProtection="1">
      <alignment vertical="center" textRotation="255" shrinkToFit="1"/>
    </xf>
    <xf numFmtId="0" fontId="2" fillId="10" borderId="0" xfId="0" applyFont="1" applyFill="1" applyAlignment="1" applyProtection="1">
      <alignment vertical="center" shrinkToFit="1"/>
    </xf>
    <xf numFmtId="0" fontId="2" fillId="4" borderId="0" xfId="0" applyFont="1" applyFill="1" applyAlignment="1" applyProtection="1">
      <alignment vertical="center" shrinkToFit="1"/>
    </xf>
    <xf numFmtId="0" fontId="55" fillId="0" borderId="0" xfId="1" applyAlignment="1" applyProtection="1">
      <alignment vertical="center" shrinkToFit="1"/>
    </xf>
    <xf numFmtId="176" fontId="56" fillId="0" borderId="0" xfId="0" applyNumberFormat="1" applyFont="1" applyFill="1" applyAlignment="1" applyProtection="1">
      <alignment vertical="center" shrinkToFit="1"/>
    </xf>
    <xf numFmtId="176" fontId="29" fillId="5" borderId="37" xfId="0" applyNumberFormat="1" applyFont="1" applyFill="1" applyBorder="1" applyAlignment="1">
      <alignment horizontal="center" vertical="center" shrinkToFit="1"/>
    </xf>
    <xf numFmtId="176" fontId="19" fillId="5" borderId="0" xfId="0" applyNumberFormat="1" applyFont="1" applyFill="1" applyBorder="1" applyAlignment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13" fillId="7" borderId="0" xfId="0" applyFont="1" applyFill="1" applyBorder="1" applyAlignment="1" applyProtection="1">
      <alignment vertical="center"/>
    </xf>
    <xf numFmtId="0" fontId="14" fillId="0" borderId="4" xfId="0" applyFont="1" applyBorder="1" applyProtection="1">
      <alignment vertical="center"/>
    </xf>
    <xf numFmtId="0" fontId="33" fillId="0" borderId="5" xfId="0" applyFont="1" applyBorder="1" applyAlignment="1" applyProtection="1">
      <alignment vertical="center"/>
    </xf>
    <xf numFmtId="0" fontId="15" fillId="0" borderId="5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0" fontId="15" fillId="7" borderId="0" xfId="0" applyFont="1" applyFill="1" applyBorder="1" applyAlignment="1" applyProtection="1">
      <alignment vertical="center"/>
    </xf>
    <xf numFmtId="0" fontId="16" fillId="7" borderId="0" xfId="0" applyFont="1" applyFill="1" applyBorder="1" applyAlignment="1" applyProtection="1">
      <alignment vertical="center"/>
    </xf>
    <xf numFmtId="0" fontId="17" fillId="7" borderId="0" xfId="0" applyFont="1" applyFill="1" applyBorder="1" applyProtection="1">
      <alignment vertical="center"/>
    </xf>
    <xf numFmtId="0" fontId="17" fillId="0" borderId="9" xfId="0" applyFont="1" applyFill="1" applyBorder="1" applyProtection="1">
      <alignment vertical="center"/>
    </xf>
    <xf numFmtId="0" fontId="17" fillId="0" borderId="13" xfId="0" applyFont="1" applyBorder="1" applyProtection="1">
      <alignment vertical="center"/>
    </xf>
    <xf numFmtId="0" fontId="26" fillId="0" borderId="13" xfId="0" applyFont="1" applyBorder="1" applyProtection="1">
      <alignment vertical="center"/>
    </xf>
    <xf numFmtId="0" fontId="17" fillId="5" borderId="52" xfId="0" applyFont="1" applyFill="1" applyBorder="1" applyProtection="1">
      <alignment vertical="center"/>
    </xf>
    <xf numFmtId="0" fontId="17" fillId="5" borderId="37" xfId="0" applyFont="1" applyFill="1" applyBorder="1" applyProtection="1">
      <alignment vertical="center"/>
    </xf>
    <xf numFmtId="176" fontId="19" fillId="5" borderId="37" xfId="0" applyNumberFormat="1" applyFont="1" applyFill="1" applyBorder="1" applyAlignment="1" applyProtection="1">
      <alignment vertical="center" shrinkToFit="1"/>
    </xf>
    <xf numFmtId="176" fontId="18" fillId="5" borderId="37" xfId="0" applyNumberFormat="1" applyFont="1" applyFill="1" applyBorder="1" applyAlignment="1" applyProtection="1">
      <alignment vertical="center"/>
    </xf>
    <xf numFmtId="180" fontId="19" fillId="5" borderId="37" xfId="0" applyNumberFormat="1" applyFont="1" applyFill="1" applyBorder="1" applyAlignment="1" applyProtection="1">
      <alignment vertical="center" shrinkToFit="1"/>
    </xf>
    <xf numFmtId="14" fontId="19" fillId="5" borderId="37" xfId="0" applyNumberFormat="1" applyFont="1" applyFill="1" applyBorder="1" applyAlignment="1" applyProtection="1">
      <alignment vertical="center" shrinkToFit="1"/>
    </xf>
    <xf numFmtId="0" fontId="17" fillId="0" borderId="0" xfId="0" applyFont="1" applyProtection="1">
      <alignment vertical="center"/>
    </xf>
    <xf numFmtId="0" fontId="20" fillId="0" borderId="53" xfId="0" applyFont="1" applyBorder="1" applyAlignment="1" applyProtection="1">
      <alignment vertical="center"/>
    </xf>
    <xf numFmtId="0" fontId="20" fillId="0" borderId="36" xfId="0" applyFont="1" applyBorder="1" applyAlignment="1" applyProtection="1">
      <alignment vertical="center"/>
    </xf>
    <xf numFmtId="0" fontId="20" fillId="0" borderId="42" xfId="0" applyFont="1" applyBorder="1" applyAlignment="1" applyProtection="1">
      <alignment vertical="center"/>
    </xf>
    <xf numFmtId="177" fontId="19" fillId="5" borderId="37" xfId="0" applyNumberFormat="1" applyFont="1" applyFill="1" applyBorder="1" applyAlignment="1" applyProtection="1">
      <alignment vertical="center" shrinkToFit="1"/>
    </xf>
    <xf numFmtId="176" fontId="19" fillId="5" borderId="37" xfId="0" applyNumberFormat="1" applyFont="1" applyFill="1" applyBorder="1" applyAlignment="1" applyProtection="1">
      <alignment vertical="center"/>
    </xf>
    <xf numFmtId="0" fontId="47" fillId="0" borderId="13" xfId="0" applyFont="1" applyBorder="1" applyAlignment="1" applyProtection="1">
      <alignment horizontal="center" vertical="center"/>
    </xf>
    <xf numFmtId="0" fontId="26" fillId="0" borderId="19" xfId="0" applyFont="1" applyBorder="1" applyProtection="1">
      <alignment vertical="center"/>
    </xf>
    <xf numFmtId="176" fontId="38" fillId="5" borderId="37" xfId="0" applyNumberFormat="1" applyFont="1" applyFill="1" applyBorder="1" applyAlignment="1" applyProtection="1">
      <alignment vertical="center" shrinkToFit="1"/>
    </xf>
    <xf numFmtId="176" fontId="39" fillId="5" borderId="37" xfId="0" applyNumberFormat="1" applyFont="1" applyFill="1" applyBorder="1" applyAlignment="1" applyProtection="1">
      <alignment vertical="center"/>
    </xf>
    <xf numFmtId="0" fontId="0" fillId="5" borderId="37" xfId="0" applyFill="1" applyBorder="1" applyAlignment="1" applyProtection="1">
      <alignment vertical="center"/>
    </xf>
    <xf numFmtId="180" fontId="43" fillId="5" borderId="37" xfId="0" applyNumberFormat="1" applyFont="1" applyFill="1" applyBorder="1" applyProtection="1">
      <alignment vertical="center"/>
    </xf>
    <xf numFmtId="0" fontId="0" fillId="5" borderId="37" xfId="0" applyFill="1" applyBorder="1" applyAlignment="1" applyProtection="1">
      <alignment vertical="center" shrinkToFit="1"/>
    </xf>
    <xf numFmtId="0" fontId="17" fillId="0" borderId="46" xfId="0" applyFont="1" applyFill="1" applyBorder="1" applyProtection="1">
      <alignment vertical="center"/>
    </xf>
    <xf numFmtId="0" fontId="17" fillId="0" borderId="65" xfId="0" applyFont="1" applyFill="1" applyBorder="1" applyProtection="1">
      <alignment vertical="center"/>
    </xf>
    <xf numFmtId="177" fontId="17" fillId="0" borderId="0" xfId="0" applyNumberFormat="1" applyFont="1" applyFill="1" applyAlignment="1" applyProtection="1">
      <alignment horizontal="right" vertical="center"/>
    </xf>
    <xf numFmtId="0" fontId="17" fillId="0" borderId="66" xfId="0" applyFont="1" applyFill="1" applyBorder="1" applyProtection="1">
      <alignment vertical="center"/>
    </xf>
    <xf numFmtId="176" fontId="44" fillId="5" borderId="37" xfId="0" applyNumberFormat="1" applyFont="1" applyFill="1" applyBorder="1" applyAlignment="1" applyProtection="1">
      <alignment horizontal="center" vertical="center" shrinkToFit="1"/>
    </xf>
    <xf numFmtId="177" fontId="37" fillId="5" borderId="37" xfId="0" applyNumberFormat="1" applyFont="1" applyFill="1" applyBorder="1" applyAlignment="1" applyProtection="1">
      <alignment vertical="center" shrinkToFit="1"/>
    </xf>
    <xf numFmtId="182" fontId="42" fillId="5" borderId="37" xfId="0" applyNumberFormat="1" applyFont="1" applyFill="1" applyBorder="1" applyAlignment="1" applyProtection="1">
      <alignment vertical="center"/>
    </xf>
    <xf numFmtId="177" fontId="46" fillId="5" borderId="37" xfId="0" applyNumberFormat="1" applyFont="1" applyFill="1" applyBorder="1" applyAlignment="1" applyProtection="1">
      <alignment horizontal="center" vertical="center" shrinkToFit="1"/>
    </xf>
    <xf numFmtId="0" fontId="16" fillId="7" borderId="0" xfId="0" applyFont="1" applyFill="1" applyBorder="1" applyAlignment="1" applyProtection="1">
      <alignment vertical="top"/>
    </xf>
    <xf numFmtId="177" fontId="46" fillId="5" borderId="37" xfId="0" applyNumberFormat="1" applyFont="1" applyFill="1" applyBorder="1" applyAlignment="1" applyProtection="1">
      <alignment vertical="center" shrinkToFit="1"/>
    </xf>
    <xf numFmtId="0" fontId="46" fillId="5" borderId="37" xfId="0" applyNumberFormat="1" applyFont="1" applyFill="1" applyBorder="1" applyAlignment="1" applyProtection="1">
      <alignment horizontal="center" vertical="center" shrinkToFit="1"/>
    </xf>
    <xf numFmtId="0" fontId="48" fillId="9" borderId="19" xfId="0" applyFont="1" applyFill="1" applyBorder="1" applyAlignment="1" applyProtection="1">
      <alignment horizontal="center" vertical="center"/>
    </xf>
    <xf numFmtId="0" fontId="23" fillId="7" borderId="0" xfId="0" applyFont="1" applyFill="1" applyBorder="1" applyAlignment="1" applyProtection="1">
      <alignment vertical="center" wrapText="1"/>
    </xf>
    <xf numFmtId="0" fontId="16" fillId="0" borderId="9" xfId="0" applyFont="1" applyFill="1" applyBorder="1" applyAlignment="1" applyProtection="1">
      <alignment vertical="center"/>
    </xf>
    <xf numFmtId="0" fontId="17" fillId="0" borderId="13" xfId="0" applyFont="1" applyFill="1" applyBorder="1" applyProtection="1">
      <alignment vertical="center"/>
    </xf>
    <xf numFmtId="0" fontId="24" fillId="7" borderId="0" xfId="0" applyFont="1" applyFill="1" applyBorder="1" applyAlignment="1" applyProtection="1">
      <alignment vertical="top"/>
    </xf>
    <xf numFmtId="0" fontId="24" fillId="0" borderId="63" xfId="0" applyFont="1" applyBorder="1" applyAlignment="1" applyProtection="1">
      <alignment vertical="center"/>
    </xf>
    <xf numFmtId="0" fontId="51" fillId="5" borderId="37" xfId="0" applyFont="1" applyFill="1" applyBorder="1" applyProtection="1">
      <alignment vertical="center"/>
    </xf>
    <xf numFmtId="0" fontId="26" fillId="0" borderId="42" xfId="0" applyFont="1" applyBorder="1" applyProtection="1">
      <alignment vertical="center"/>
    </xf>
    <xf numFmtId="0" fontId="17" fillId="0" borderId="79" xfId="0" applyFont="1" applyFill="1" applyBorder="1" applyAlignment="1" applyProtection="1">
      <alignment vertical="center"/>
    </xf>
    <xf numFmtId="0" fontId="31" fillId="7" borderId="0" xfId="0" applyFont="1" applyFill="1" applyBorder="1" applyAlignment="1" applyProtection="1">
      <alignment vertical="center"/>
    </xf>
    <xf numFmtId="0" fontId="17" fillId="0" borderId="65" xfId="0" applyFont="1" applyBorder="1" applyProtection="1">
      <alignment vertical="center"/>
    </xf>
    <xf numFmtId="0" fontId="17" fillId="0" borderId="53" xfId="0" applyFont="1" applyBorder="1" applyProtection="1">
      <alignment vertical="center"/>
    </xf>
    <xf numFmtId="0" fontId="17" fillId="0" borderId="36" xfId="0" applyFont="1" applyBorder="1" applyProtection="1">
      <alignment vertical="center"/>
    </xf>
    <xf numFmtId="0" fontId="17" fillId="5" borderId="21" xfId="0" applyFont="1" applyFill="1" applyBorder="1" applyProtection="1">
      <alignment vertical="center"/>
    </xf>
    <xf numFmtId="0" fontId="13" fillId="5" borderId="83" xfId="0" applyFont="1" applyFill="1" applyBorder="1" applyAlignment="1" applyProtection="1">
      <alignment vertical="center"/>
    </xf>
    <xf numFmtId="0" fontId="31" fillId="5" borderId="83" xfId="0" applyFont="1" applyFill="1" applyBorder="1" applyAlignment="1" applyProtection="1">
      <alignment vertical="center"/>
    </xf>
    <xf numFmtId="0" fontId="16" fillId="5" borderId="83" xfId="0" applyFont="1" applyFill="1" applyBorder="1" applyAlignment="1" applyProtection="1">
      <alignment vertical="center"/>
    </xf>
    <xf numFmtId="0" fontId="17" fillId="5" borderId="83" xfId="0" applyFont="1" applyFill="1" applyBorder="1" applyProtection="1">
      <alignment vertical="center"/>
    </xf>
    <xf numFmtId="0" fontId="17" fillId="5" borderId="8" xfId="0" applyFont="1" applyFill="1" applyBorder="1" applyProtection="1">
      <alignment vertical="center"/>
    </xf>
    <xf numFmtId="0" fontId="26" fillId="5" borderId="8" xfId="0" applyFont="1" applyFill="1" applyBorder="1" applyProtection="1">
      <alignment vertical="center"/>
    </xf>
    <xf numFmtId="0" fontId="13" fillId="5" borderId="8" xfId="0" applyFont="1" applyFill="1" applyBorder="1" applyAlignment="1" applyProtection="1">
      <alignment vertical="center"/>
    </xf>
    <xf numFmtId="0" fontId="31" fillId="5" borderId="8" xfId="0" applyFont="1" applyFill="1" applyBorder="1" applyAlignment="1" applyProtection="1">
      <alignment vertical="center"/>
    </xf>
    <xf numFmtId="0" fontId="16" fillId="5" borderId="8" xfId="0" applyFont="1" applyFill="1" applyBorder="1" applyAlignment="1" applyProtection="1">
      <alignment vertical="center"/>
    </xf>
    <xf numFmtId="0" fontId="13" fillId="0" borderId="51" xfId="0" applyFont="1" applyBorder="1" applyAlignment="1" applyProtection="1">
      <alignment vertical="center"/>
    </xf>
    <xf numFmtId="0" fontId="31" fillId="0" borderId="51" xfId="0" applyFont="1" applyBorder="1" applyAlignment="1" applyProtection="1">
      <alignment vertical="center"/>
    </xf>
    <xf numFmtId="0" fontId="16" fillId="0" borderId="51" xfId="0" applyFont="1" applyBorder="1" applyAlignment="1" applyProtection="1">
      <alignment vertical="center"/>
    </xf>
    <xf numFmtId="0" fontId="17" fillId="0" borderId="51" xfId="0" applyFont="1" applyBorder="1" applyProtection="1">
      <alignment vertical="center"/>
    </xf>
    <xf numFmtId="0" fontId="17" fillId="0" borderId="79" xfId="0" applyFont="1" applyBorder="1" applyProtection="1">
      <alignment vertical="center"/>
    </xf>
    <xf numFmtId="0" fontId="26" fillId="0" borderId="79" xfId="0" applyFont="1" applyBorder="1" applyProtection="1">
      <alignment vertical="center"/>
    </xf>
    <xf numFmtId="0" fontId="13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26" fillId="0" borderId="0" xfId="0" applyFont="1" applyProtection="1">
      <alignment vertical="center"/>
    </xf>
    <xf numFmtId="0" fontId="53" fillId="0" borderId="13" xfId="0" applyFont="1" applyBorder="1" applyProtection="1">
      <alignment vertical="center"/>
    </xf>
    <xf numFmtId="0" fontId="17" fillId="0" borderId="19" xfId="0" applyFont="1" applyBorder="1" applyProtection="1">
      <alignment vertical="center"/>
    </xf>
    <xf numFmtId="0" fontId="54" fillId="0" borderId="13" xfId="0" applyFont="1" applyBorder="1" applyProtection="1">
      <alignment vertical="center"/>
    </xf>
    <xf numFmtId="0" fontId="47" fillId="0" borderId="13" xfId="0" applyFont="1" applyBorder="1" applyProtection="1">
      <alignment vertical="center"/>
    </xf>
    <xf numFmtId="0" fontId="17" fillId="0" borderId="42" xfId="0" applyFont="1" applyBorder="1" applyProtection="1">
      <alignment vertical="center"/>
    </xf>
    <xf numFmtId="0" fontId="17" fillId="5" borderId="48" xfId="0" applyFont="1" applyFill="1" applyBorder="1" applyProtection="1">
      <alignment vertical="center"/>
    </xf>
    <xf numFmtId="0" fontId="17" fillId="5" borderId="0" xfId="0" applyFont="1" applyFill="1" applyBorder="1" applyProtection="1">
      <alignment vertical="center"/>
    </xf>
    <xf numFmtId="0" fontId="17" fillId="5" borderId="0" xfId="0" applyFont="1" applyFill="1" applyProtection="1">
      <alignment vertical="center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shrinkToFit="1"/>
    </xf>
    <xf numFmtId="177" fontId="2" fillId="0" borderId="0" xfId="0" applyNumberFormat="1" applyFont="1" applyFill="1" applyAlignment="1" applyProtection="1">
      <alignment vertical="center" shrinkToFit="1"/>
    </xf>
    <xf numFmtId="178" fontId="2" fillId="0" borderId="0" xfId="0" applyNumberFormat="1" applyFont="1" applyFill="1" applyAlignment="1" applyProtection="1">
      <alignment vertical="center" shrinkToFit="1"/>
    </xf>
    <xf numFmtId="177" fontId="11" fillId="0" borderId="0" xfId="0" applyNumberFormat="1" applyFont="1" applyFill="1" applyAlignment="1" applyProtection="1">
      <alignment vertical="center" shrinkToFit="1"/>
    </xf>
    <xf numFmtId="179" fontId="2" fillId="0" borderId="0" xfId="0" applyNumberFormat="1" applyFont="1" applyAlignment="1" applyProtection="1">
      <alignment vertical="center" shrinkToFit="1"/>
    </xf>
    <xf numFmtId="0" fontId="9" fillId="0" borderId="0" xfId="0" applyFont="1" applyAlignment="1" applyProtection="1">
      <alignment vertical="center"/>
    </xf>
    <xf numFmtId="177" fontId="2" fillId="2" borderId="0" xfId="0" applyNumberFormat="1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4" fillId="10" borderId="0" xfId="0" applyFont="1" applyFill="1" applyAlignment="1" applyProtection="1">
      <alignment horizontal="center" vertical="center" textRotation="255" shrinkToFit="1"/>
    </xf>
    <xf numFmtId="177" fontId="2" fillId="0" borderId="0" xfId="0" applyNumberFormat="1" applyFont="1" applyFill="1" applyAlignment="1" applyProtection="1">
      <alignment vertical="center" shrinkToFit="1"/>
    </xf>
    <xf numFmtId="177" fontId="8" fillId="3" borderId="0" xfId="0" applyNumberFormat="1" applyFont="1" applyFill="1" applyAlignment="1" applyProtection="1">
      <alignment vertical="center" shrinkToFit="1"/>
    </xf>
    <xf numFmtId="184" fontId="57" fillId="3" borderId="0" xfId="0" applyNumberFormat="1" applyFont="1" applyFill="1" applyAlignment="1" applyProtection="1">
      <alignment vertical="center" shrinkToFit="1"/>
    </xf>
    <xf numFmtId="0" fontId="56" fillId="0" borderId="0" xfId="0" applyFont="1" applyAlignment="1" applyProtection="1">
      <alignment horizontal="center" vertical="center" shrinkToFit="1"/>
    </xf>
    <xf numFmtId="177" fontId="12" fillId="0" borderId="0" xfId="0" applyNumberFormat="1" applyFont="1" applyFill="1" applyAlignment="1" applyProtection="1">
      <alignment vertical="center" shrinkToFit="1"/>
    </xf>
    <xf numFmtId="178" fontId="2" fillId="0" borderId="0" xfId="0" applyNumberFormat="1" applyFont="1" applyFill="1" applyAlignment="1" applyProtection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177" fontId="11" fillId="0" borderId="0" xfId="0" applyNumberFormat="1" applyFont="1" applyFill="1" applyAlignment="1" applyProtection="1">
      <alignment vertical="center" shrinkToFit="1"/>
    </xf>
    <xf numFmtId="0" fontId="5" fillId="4" borderId="0" xfId="0" applyFont="1" applyFill="1" applyAlignment="1" applyProtection="1">
      <alignment horizontal="center" vertical="center" textRotation="255" shrinkToFit="1"/>
    </xf>
    <xf numFmtId="177" fontId="12" fillId="2" borderId="0" xfId="0" applyNumberFormat="1" applyFont="1" applyFill="1" applyAlignment="1" applyProtection="1">
      <alignment vertical="center" shrinkToFit="1"/>
      <protection locked="0"/>
    </xf>
    <xf numFmtId="179" fontId="2" fillId="0" borderId="0" xfId="0" applyNumberFormat="1" applyFont="1" applyAlignment="1" applyProtection="1">
      <alignment vertical="center" shrinkToFit="1"/>
    </xf>
    <xf numFmtId="0" fontId="2" fillId="2" borderId="0" xfId="0" applyFont="1" applyFill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Alignment="1" applyProtection="1">
      <alignment vertical="center" shrinkToFit="1"/>
      <protection locked="0"/>
    </xf>
    <xf numFmtId="0" fontId="5" fillId="4" borderId="0" xfId="0" applyFont="1" applyFill="1" applyAlignment="1" applyProtection="1">
      <alignment horizontal="center" vertical="center" wrapText="1" shrinkToFit="1"/>
    </xf>
    <xf numFmtId="182" fontId="2" fillId="2" borderId="0" xfId="0" applyNumberFormat="1" applyFont="1" applyFill="1" applyAlignment="1" applyProtection="1">
      <alignment vertical="center" shrinkToFit="1"/>
    </xf>
    <xf numFmtId="183" fontId="2" fillId="2" borderId="0" xfId="0" applyNumberFormat="1" applyFont="1" applyFill="1" applyAlignment="1" applyProtection="1">
      <alignment vertical="center" shrinkToFit="1"/>
    </xf>
    <xf numFmtId="0" fontId="5" fillId="4" borderId="0" xfId="0" applyFont="1" applyFill="1" applyAlignment="1" applyProtection="1">
      <alignment horizontal="center" vertical="center" shrinkToFit="1"/>
    </xf>
    <xf numFmtId="177" fontId="12" fillId="2" borderId="0" xfId="0" applyNumberFormat="1" applyFont="1" applyFill="1" applyAlignment="1" applyProtection="1">
      <alignment vertical="center" shrinkToFit="1"/>
    </xf>
    <xf numFmtId="176" fontId="2" fillId="2" borderId="0" xfId="0" applyNumberFormat="1" applyFont="1" applyFill="1" applyAlignment="1" applyProtection="1">
      <alignment vertical="center" shrinkToFit="1"/>
    </xf>
    <xf numFmtId="0" fontId="2" fillId="2" borderId="0" xfId="0" applyFont="1" applyFill="1" applyAlignment="1" applyProtection="1">
      <alignment horizontal="center" vertical="center" shrinkToFit="1"/>
    </xf>
    <xf numFmtId="176" fontId="27" fillId="5" borderId="20" xfId="0" applyNumberFormat="1" applyFont="1" applyFill="1" applyBorder="1" applyAlignment="1">
      <alignment horizontal="center" vertical="center" shrinkToFit="1"/>
    </xf>
    <xf numFmtId="176" fontId="27" fillId="5" borderId="2" xfId="0" applyNumberFormat="1" applyFont="1" applyFill="1" applyBorder="1" applyAlignment="1">
      <alignment horizontal="center" vertical="center" shrinkToFit="1"/>
    </xf>
    <xf numFmtId="176" fontId="27" fillId="5" borderId="25" xfId="0" applyNumberFormat="1" applyFont="1" applyFill="1" applyBorder="1" applyAlignment="1">
      <alignment horizontal="center" vertical="center" shrinkToFit="1"/>
    </xf>
    <xf numFmtId="176" fontId="27" fillId="5" borderId="1" xfId="0" applyNumberFormat="1" applyFont="1" applyFill="1" applyBorder="1" applyAlignment="1">
      <alignment horizontal="center" vertical="center" shrinkToFit="1"/>
    </xf>
    <xf numFmtId="177" fontId="19" fillId="5" borderId="21" xfId="0" applyNumberFormat="1" applyFont="1" applyFill="1" applyBorder="1" applyAlignment="1">
      <alignment vertical="center" shrinkToFit="1"/>
    </xf>
    <xf numFmtId="177" fontId="19" fillId="5" borderId="26" xfId="0" applyNumberFormat="1" applyFont="1" applyFill="1" applyBorder="1" applyAlignment="1">
      <alignment vertical="center" shrinkToFit="1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76" fontId="19" fillId="5" borderId="0" xfId="0" applyNumberFormat="1" applyFont="1" applyFill="1" applyBorder="1" applyAlignment="1">
      <alignment vertical="center" shrinkToFit="1"/>
    </xf>
    <xf numFmtId="0" fontId="0" fillId="5" borderId="0" xfId="0" applyFont="1" applyFill="1" applyAlignment="1">
      <alignment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 textRotation="255"/>
    </xf>
    <xf numFmtId="0" fontId="24" fillId="0" borderId="23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6" borderId="23" xfId="0" applyFont="1" applyFill="1" applyBorder="1" applyAlignment="1">
      <alignment horizontal="left" vertical="top"/>
    </xf>
    <xf numFmtId="0" fontId="24" fillId="6" borderId="24" xfId="0" applyFont="1" applyFill="1" applyBorder="1" applyAlignment="1">
      <alignment horizontal="left" vertical="top"/>
    </xf>
    <xf numFmtId="0" fontId="24" fillId="0" borderId="34" xfId="0" applyFont="1" applyBorder="1" applyAlignment="1">
      <alignment horizontal="right" vertical="top"/>
    </xf>
    <xf numFmtId="0" fontId="24" fillId="0" borderId="23" xfId="0" applyFont="1" applyBorder="1" applyAlignment="1">
      <alignment horizontal="right" vertical="top"/>
    </xf>
    <xf numFmtId="0" fontId="24" fillId="0" borderId="29" xfId="0" applyFont="1" applyBorder="1" applyAlignment="1">
      <alignment horizontal="right" vertical="top"/>
    </xf>
    <xf numFmtId="0" fontId="24" fillId="0" borderId="35" xfId="0" applyFont="1" applyBorder="1" applyAlignment="1">
      <alignment horizontal="right" vertical="top"/>
    </xf>
    <xf numFmtId="0" fontId="24" fillId="0" borderId="29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top"/>
    </xf>
    <xf numFmtId="0" fontId="24" fillId="0" borderId="27" xfId="0" applyFont="1" applyBorder="1" applyAlignment="1">
      <alignment horizontal="left" vertical="top"/>
    </xf>
    <xf numFmtId="0" fontId="24" fillId="0" borderId="28" xfId="0" applyFont="1" applyBorder="1" applyAlignment="1">
      <alignment horizontal="left" vertical="top"/>
    </xf>
    <xf numFmtId="0" fontId="22" fillId="0" borderId="23" xfId="0" applyFont="1" applyBorder="1" applyAlignment="1">
      <alignment horizontal="center" vertical="center" textRotation="255"/>
    </xf>
    <xf numFmtId="0" fontId="22" fillId="0" borderId="29" xfId="0" applyFont="1" applyBorder="1" applyAlignment="1">
      <alignment horizontal="center" vertical="center" textRotation="255"/>
    </xf>
    <xf numFmtId="0" fontId="24" fillId="0" borderId="30" xfId="0" applyFont="1" applyBorder="1" applyAlignment="1">
      <alignment horizontal="left" vertical="top"/>
    </xf>
    <xf numFmtId="0" fontId="24" fillId="0" borderId="31" xfId="0" applyFont="1" applyBorder="1" applyAlignment="1">
      <alignment horizontal="left" vertical="top"/>
    </xf>
    <xf numFmtId="0" fontId="24" fillId="0" borderId="32" xfId="0" applyFont="1" applyBorder="1" applyAlignment="1">
      <alignment horizontal="left" vertical="top"/>
    </xf>
    <xf numFmtId="0" fontId="24" fillId="0" borderId="33" xfId="0" applyFont="1" applyBorder="1" applyAlignment="1">
      <alignment horizontal="right" vertical="top"/>
    </xf>
    <xf numFmtId="0" fontId="24" fillId="0" borderId="35" xfId="0" applyFont="1" applyBorder="1" applyAlignment="1">
      <alignment horizontal="center" vertical="top"/>
    </xf>
    <xf numFmtId="0" fontId="24" fillId="0" borderId="23" xfId="0" applyFont="1" applyBorder="1" applyAlignment="1">
      <alignment horizontal="center" vertical="top"/>
    </xf>
    <xf numFmtId="0" fontId="24" fillId="0" borderId="24" xfId="0" applyFont="1" applyBorder="1" applyAlignment="1">
      <alignment horizontal="center" vertical="top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3" xfId="0" applyFont="1" applyBorder="1" applyAlignment="1">
      <alignment horizontal="left" vertical="top"/>
    </xf>
    <xf numFmtId="0" fontId="24" fillId="0" borderId="22" xfId="0" applyFont="1" applyBorder="1" applyAlignment="1">
      <alignment horizontal="center" vertical="center"/>
    </xf>
    <xf numFmtId="176" fontId="29" fillId="5" borderId="37" xfId="0" applyNumberFormat="1" applyFont="1" applyFill="1" applyBorder="1" applyAlignment="1">
      <alignment horizontal="center" vertical="center" shrinkToFit="1"/>
    </xf>
    <xf numFmtId="0" fontId="24" fillId="0" borderId="24" xfId="0" applyFont="1" applyBorder="1" applyAlignment="1">
      <alignment horizontal="right" vertical="top"/>
    </xf>
    <xf numFmtId="0" fontId="30" fillId="0" borderId="43" xfId="0" applyFont="1" applyBorder="1" applyAlignment="1">
      <alignment horizontal="left" vertical="top"/>
    </xf>
    <xf numFmtId="0" fontId="30" fillId="0" borderId="44" xfId="0" applyFont="1" applyBorder="1" applyAlignment="1">
      <alignment horizontal="left" vertical="top"/>
    </xf>
    <xf numFmtId="0" fontId="30" fillId="0" borderId="45" xfId="0" applyFont="1" applyBorder="1" applyAlignment="1">
      <alignment horizontal="left" vertical="top"/>
    </xf>
    <xf numFmtId="0" fontId="24" fillId="0" borderId="22" xfId="0" applyFont="1" applyBorder="1" applyAlignment="1">
      <alignment horizontal="right" vertical="top"/>
    </xf>
    <xf numFmtId="0" fontId="24" fillId="0" borderId="63" xfId="0" applyFont="1" applyBorder="1" applyAlignment="1" applyProtection="1">
      <alignment horizontal="center" vertical="center"/>
    </xf>
    <xf numFmtId="0" fontId="24" fillId="0" borderId="64" xfId="0" applyFont="1" applyBorder="1" applyAlignment="1" applyProtection="1">
      <alignment horizontal="center" vertical="center"/>
    </xf>
    <xf numFmtId="0" fontId="23" fillId="0" borderId="63" xfId="0" applyFont="1" applyBorder="1" applyAlignment="1" applyProtection="1">
      <alignment horizontal="center" vertical="center" wrapText="1"/>
    </xf>
    <xf numFmtId="0" fontId="23" fillId="0" borderId="63" xfId="0" applyFont="1" applyBorder="1" applyAlignment="1" applyProtection="1">
      <alignment horizontal="center" vertical="center"/>
    </xf>
    <xf numFmtId="0" fontId="30" fillId="0" borderId="63" xfId="0" applyFont="1" applyBorder="1" applyAlignment="1" applyProtection="1">
      <alignment horizontal="center" vertical="center" wrapText="1"/>
    </xf>
    <xf numFmtId="0" fontId="30" fillId="0" borderId="63" xfId="0" applyFont="1" applyBorder="1" applyAlignment="1" applyProtection="1">
      <alignment horizontal="center" vertical="center"/>
    </xf>
    <xf numFmtId="176" fontId="19" fillId="5" borderId="37" xfId="0" applyNumberFormat="1" applyFont="1" applyFill="1" applyBorder="1" applyAlignment="1" applyProtection="1">
      <alignment vertical="center" shrinkToFit="1"/>
    </xf>
    <xf numFmtId="0" fontId="0" fillId="5" borderId="37" xfId="0" applyFill="1" applyBorder="1" applyAlignment="1" applyProtection="1">
      <alignment vertical="center" shrinkToFit="1"/>
    </xf>
    <xf numFmtId="0" fontId="20" fillId="0" borderId="54" xfId="0" applyFont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 vertical="center"/>
    </xf>
    <xf numFmtId="0" fontId="20" fillId="0" borderId="56" xfId="0" applyFont="1" applyBorder="1" applyAlignment="1" applyProtection="1">
      <alignment horizontal="center" vertical="center"/>
    </xf>
    <xf numFmtId="0" fontId="20" fillId="0" borderId="57" xfId="0" applyFont="1" applyBorder="1" applyAlignment="1" applyProtection="1">
      <alignment horizontal="center" vertical="center"/>
    </xf>
    <xf numFmtId="0" fontId="20" fillId="0" borderId="58" xfId="0" applyFont="1" applyBorder="1" applyAlignment="1" applyProtection="1">
      <alignment horizontal="center" vertical="center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/>
    </xf>
    <xf numFmtId="0" fontId="24" fillId="0" borderId="60" xfId="0" applyFont="1" applyBorder="1" applyAlignment="1" applyProtection="1">
      <alignment horizontal="center" vertical="top"/>
    </xf>
    <xf numFmtId="0" fontId="24" fillId="0" borderId="61" xfId="0" applyFont="1" applyBorder="1" applyAlignment="1" applyProtection="1">
      <alignment horizontal="center" vertical="top"/>
    </xf>
    <xf numFmtId="176" fontId="36" fillId="5" borderId="37" xfId="0" applyNumberFormat="1" applyFont="1" applyFill="1" applyBorder="1" applyAlignment="1" applyProtection="1">
      <alignment horizontal="center" vertical="center" shrinkToFit="1"/>
    </xf>
    <xf numFmtId="177" fontId="37" fillId="5" borderId="37" xfId="0" applyNumberFormat="1" applyFont="1" applyFill="1" applyBorder="1" applyAlignment="1" applyProtection="1">
      <alignment vertical="center" shrinkToFit="1"/>
    </xf>
    <xf numFmtId="0" fontId="30" fillId="0" borderId="62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/>
    </xf>
    <xf numFmtId="0" fontId="22" fillId="0" borderId="64" xfId="0" applyFont="1" applyBorder="1" applyAlignment="1" applyProtection="1">
      <alignment horizontal="center" vertical="center"/>
    </xf>
    <xf numFmtId="0" fontId="24" fillId="0" borderId="63" xfId="0" applyFont="1" applyBorder="1" applyAlignment="1" applyProtection="1">
      <alignment horizontal="right" vertical="center"/>
    </xf>
    <xf numFmtId="0" fontId="24" fillId="0" borderId="64" xfId="0" applyFont="1" applyBorder="1" applyAlignment="1" applyProtection="1">
      <alignment horizontal="right" vertical="center"/>
    </xf>
    <xf numFmtId="176" fontId="39" fillId="5" borderId="37" xfId="0" applyNumberFormat="1" applyFont="1" applyFill="1" applyBorder="1" applyAlignment="1" applyProtection="1">
      <alignment vertical="center"/>
    </xf>
    <xf numFmtId="0" fontId="40" fillId="5" borderId="37" xfId="0" applyFont="1" applyFill="1" applyBorder="1" applyAlignment="1" applyProtection="1">
      <alignment vertical="center"/>
    </xf>
    <xf numFmtId="177" fontId="17" fillId="8" borderId="36" xfId="0" applyNumberFormat="1" applyFont="1" applyFill="1" applyBorder="1" applyAlignment="1" applyProtection="1">
      <alignment horizontal="right" vertical="center"/>
      <protection locked="0"/>
    </xf>
    <xf numFmtId="177" fontId="17" fillId="8" borderId="38" xfId="0" applyNumberFormat="1" applyFont="1" applyFill="1" applyBorder="1" applyAlignment="1" applyProtection="1">
      <alignment horizontal="right" vertical="center"/>
      <protection locked="0"/>
    </xf>
    <xf numFmtId="181" fontId="37" fillId="5" borderId="37" xfId="0" applyNumberFormat="1" applyFont="1" applyFill="1" applyBorder="1" applyAlignment="1" applyProtection="1">
      <alignment vertical="center" shrinkToFit="1"/>
    </xf>
    <xf numFmtId="176" fontId="19" fillId="5" borderId="37" xfId="0" applyNumberFormat="1" applyFont="1" applyFill="1" applyBorder="1" applyAlignment="1" applyProtection="1">
      <alignment vertical="center"/>
    </xf>
    <xf numFmtId="0" fontId="0" fillId="5" borderId="37" xfId="0" applyFill="1" applyBorder="1" applyAlignment="1" applyProtection="1">
      <alignment vertical="center"/>
    </xf>
    <xf numFmtId="182" fontId="41" fillId="5" borderId="37" xfId="0" applyNumberFormat="1" applyFont="1" applyFill="1" applyBorder="1" applyAlignment="1" applyProtection="1">
      <alignment vertical="center"/>
    </xf>
    <xf numFmtId="182" fontId="42" fillId="5" borderId="37" xfId="0" applyNumberFormat="1" applyFont="1" applyFill="1" applyBorder="1" applyAlignment="1" applyProtection="1">
      <alignment vertical="center"/>
    </xf>
    <xf numFmtId="0" fontId="24" fillId="0" borderId="63" xfId="0" applyFont="1" applyBorder="1" applyAlignment="1" applyProtection="1">
      <alignment horizontal="center" vertical="center" wrapText="1"/>
    </xf>
    <xf numFmtId="0" fontId="45" fillId="0" borderId="63" xfId="0" applyFont="1" applyBorder="1" applyAlignment="1" applyProtection="1">
      <alignment horizontal="right" vertical="top"/>
    </xf>
    <xf numFmtId="0" fontId="45" fillId="0" borderId="64" xfId="0" applyFont="1" applyBorder="1" applyAlignment="1" applyProtection="1">
      <alignment horizontal="right" vertical="top"/>
    </xf>
    <xf numFmtId="176" fontId="46" fillId="5" borderId="37" xfId="0" applyNumberFormat="1" applyFont="1" applyFill="1" applyBorder="1" applyAlignment="1" applyProtection="1">
      <alignment horizontal="center" vertical="center" shrinkToFit="1"/>
    </xf>
    <xf numFmtId="0" fontId="23" fillId="0" borderId="62" xfId="0" applyFont="1" applyBorder="1" applyAlignment="1" applyProtection="1">
      <alignment horizontal="center" vertical="center"/>
    </xf>
    <xf numFmtId="0" fontId="23" fillId="0" borderId="64" xfId="0" applyFont="1" applyBorder="1" applyAlignment="1" applyProtection="1">
      <alignment horizontal="center" vertical="center"/>
    </xf>
    <xf numFmtId="0" fontId="45" fillId="0" borderId="62" xfId="0" applyFont="1" applyBorder="1" applyAlignment="1" applyProtection="1">
      <alignment horizontal="center" vertical="center" wrapText="1"/>
    </xf>
    <xf numFmtId="0" fontId="45" fillId="0" borderId="63" xfId="0" applyFont="1" applyBorder="1" applyAlignment="1" applyProtection="1">
      <alignment horizontal="center" vertical="center"/>
    </xf>
    <xf numFmtId="0" fontId="45" fillId="0" borderId="63" xfId="0" applyFont="1" applyBorder="1" applyAlignment="1" applyProtection="1">
      <alignment horizontal="center" vertical="center" wrapText="1"/>
    </xf>
    <xf numFmtId="177" fontId="46" fillId="5" borderId="37" xfId="0" applyNumberFormat="1" applyFont="1" applyFill="1" applyBorder="1" applyAlignment="1" applyProtection="1">
      <alignment vertical="center" shrinkToFit="1"/>
    </xf>
    <xf numFmtId="0" fontId="24" fillId="0" borderId="62" xfId="0" applyFont="1" applyBorder="1" applyAlignment="1" applyProtection="1">
      <alignment horizontal="center" vertical="center" wrapText="1"/>
    </xf>
    <xf numFmtId="0" fontId="28" fillId="0" borderId="63" xfId="0" applyFont="1" applyBorder="1" applyAlignment="1" applyProtection="1">
      <alignment horizontal="center" vertical="center" wrapText="1"/>
    </xf>
    <xf numFmtId="0" fontId="23" fillId="0" borderId="64" xfId="0" applyFont="1" applyBorder="1" applyAlignment="1" applyProtection="1">
      <alignment horizontal="center" vertical="center" wrapText="1"/>
    </xf>
    <xf numFmtId="176" fontId="29" fillId="5" borderId="37" xfId="0" applyNumberFormat="1" applyFont="1" applyFill="1" applyBorder="1" applyAlignment="1" applyProtection="1">
      <alignment horizontal="center" vertical="center" textRotation="255" shrinkToFit="1"/>
    </xf>
    <xf numFmtId="177" fontId="34" fillId="8" borderId="36" xfId="0" applyNumberFormat="1" applyFont="1" applyFill="1" applyBorder="1" applyAlignment="1" applyProtection="1">
      <alignment horizontal="right" vertical="center"/>
    </xf>
    <xf numFmtId="177" fontId="34" fillId="8" borderId="38" xfId="0" applyNumberFormat="1" applyFont="1" applyFill="1" applyBorder="1" applyAlignment="1" applyProtection="1">
      <alignment horizontal="right" vertical="center"/>
    </xf>
    <xf numFmtId="0" fontId="23" fillId="0" borderId="69" xfId="0" applyFont="1" applyBorder="1" applyAlignment="1" applyProtection="1">
      <alignment horizontal="center" vertical="center"/>
    </xf>
    <xf numFmtId="0" fontId="23" fillId="0" borderId="70" xfId="0" applyFont="1" applyBorder="1" applyAlignment="1" applyProtection="1">
      <alignment horizontal="center" vertical="center"/>
    </xf>
    <xf numFmtId="0" fontId="23" fillId="0" borderId="71" xfId="0" applyFont="1" applyBorder="1" applyAlignment="1" applyProtection="1">
      <alignment horizontal="center" vertical="center"/>
    </xf>
    <xf numFmtId="0" fontId="23" fillId="0" borderId="73" xfId="0" applyFont="1" applyBorder="1" applyAlignment="1" applyProtection="1">
      <alignment horizontal="center" vertical="center"/>
    </xf>
    <xf numFmtId="0" fontId="23" fillId="0" borderId="74" xfId="0" applyFont="1" applyBorder="1" applyAlignment="1" applyProtection="1">
      <alignment horizontal="center" vertical="center"/>
    </xf>
    <xf numFmtId="0" fontId="23" fillId="0" borderId="75" xfId="0" applyFont="1" applyBorder="1" applyAlignment="1" applyProtection="1">
      <alignment horizontal="center" vertical="center"/>
    </xf>
    <xf numFmtId="0" fontId="23" fillId="0" borderId="76" xfId="0" applyFont="1" applyBorder="1" applyAlignment="1" applyProtection="1">
      <alignment horizontal="center" vertical="center"/>
    </xf>
    <xf numFmtId="0" fontId="45" fillId="0" borderId="72" xfId="0" applyFont="1" applyBorder="1" applyAlignment="1" applyProtection="1">
      <alignment horizontal="center" vertical="center"/>
    </xf>
    <xf numFmtId="0" fontId="24" fillId="0" borderId="67" xfId="0" applyFont="1" applyBorder="1" applyAlignment="1" applyProtection="1">
      <alignment horizontal="center" vertical="center"/>
    </xf>
    <xf numFmtId="0" fontId="24" fillId="0" borderId="68" xfId="0" applyFont="1" applyBorder="1" applyAlignment="1" applyProtection="1">
      <alignment horizontal="center" vertical="center"/>
    </xf>
    <xf numFmtId="0" fontId="24" fillId="0" borderId="68" xfId="0" applyFont="1" applyBorder="1" applyAlignment="1" applyProtection="1">
      <alignment horizontal="center" vertical="top"/>
    </xf>
    <xf numFmtId="0" fontId="23" fillId="0" borderId="68" xfId="0" applyFont="1" applyBorder="1" applyAlignment="1" applyProtection="1">
      <alignment horizontal="center" vertical="center" wrapText="1"/>
    </xf>
    <xf numFmtId="0" fontId="24" fillId="0" borderId="63" xfId="0" applyFont="1" applyBorder="1" applyAlignment="1" applyProtection="1">
      <alignment horizontal="center" vertical="top"/>
    </xf>
    <xf numFmtId="0" fontId="24" fillId="0" borderId="64" xfId="0" applyFont="1" applyBorder="1" applyAlignment="1" applyProtection="1">
      <alignment horizontal="center" vertical="top"/>
    </xf>
    <xf numFmtId="0" fontId="24" fillId="0" borderId="81" xfId="0" applyFont="1" applyBorder="1" applyAlignment="1" applyProtection="1">
      <alignment horizontal="center" vertical="center"/>
    </xf>
    <xf numFmtId="0" fontId="24" fillId="0" borderId="82" xfId="0" applyFont="1" applyBorder="1" applyAlignment="1" applyProtection="1">
      <alignment horizontal="center" vertical="center"/>
    </xf>
    <xf numFmtId="0" fontId="30" fillId="0" borderId="77" xfId="0" applyFont="1" applyBorder="1" applyAlignment="1" applyProtection="1">
      <alignment horizontal="center" vertical="center"/>
    </xf>
    <xf numFmtId="0" fontId="30" fillId="0" borderId="78" xfId="0" applyFont="1" applyBorder="1" applyAlignment="1" applyProtection="1">
      <alignment horizontal="center" vertical="center"/>
    </xf>
    <xf numFmtId="0" fontId="30" fillId="0" borderId="62" xfId="0" applyFont="1" applyBorder="1" applyAlignment="1" applyProtection="1">
      <alignment horizontal="center" vertical="center"/>
    </xf>
    <xf numFmtId="0" fontId="30" fillId="0" borderId="80" xfId="0" applyFont="1" applyBorder="1" applyAlignment="1" applyProtection="1">
      <alignment horizontal="center" vertical="center"/>
    </xf>
    <xf numFmtId="0" fontId="30" fillId="0" borderId="81" xfId="0" applyFont="1" applyBorder="1" applyAlignment="1" applyProtection="1">
      <alignment horizontal="center" vertical="center"/>
    </xf>
    <xf numFmtId="0" fontId="24" fillId="0" borderId="78" xfId="0" applyFont="1" applyBorder="1" applyAlignment="1" applyProtection="1">
      <alignment horizontal="center" vertical="center"/>
    </xf>
    <xf numFmtId="0" fontId="17" fillId="0" borderId="42" xfId="0" applyFont="1" applyBorder="1" applyAlignment="1" applyProtection="1">
      <alignment horizontal="left" vertical="center" wrapText="1"/>
    </xf>
    <xf numFmtId="0" fontId="17" fillId="0" borderId="84" xfId="0" applyFont="1" applyBorder="1" applyAlignment="1" applyProtection="1">
      <alignment horizontal="left" vertical="center" wrapText="1"/>
    </xf>
    <xf numFmtId="0" fontId="17" fillId="0" borderId="53" xfId="0" applyFont="1" applyBorder="1" applyAlignment="1" applyProtection="1">
      <alignment horizontal="left" vertical="center" wrapText="1"/>
    </xf>
    <xf numFmtId="0" fontId="17" fillId="0" borderId="79" xfId="0" applyFont="1" applyBorder="1" applyAlignment="1" applyProtection="1">
      <alignment horizontal="left" vertical="center" wrapText="1"/>
    </xf>
    <xf numFmtId="0" fontId="17" fillId="0" borderId="85" xfId="0" applyFont="1" applyBorder="1" applyAlignment="1" applyProtection="1">
      <alignment horizontal="left" vertical="center" wrapText="1"/>
    </xf>
    <xf numFmtId="0" fontId="17" fillId="0" borderId="86" xfId="0" applyFont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0906;&#23450;&#30003;&#21578;&#26360;A&#12539;B!A1"/><Relationship Id="rId2" Type="http://schemas.openxmlformats.org/officeDocument/2006/relationships/hyperlink" Target="#'&#24180;&#37329;&#28304;&#27849;&#24500;&#21454;&#31080; '!A1"/><Relationship Id="rId1" Type="http://schemas.openxmlformats.org/officeDocument/2006/relationships/hyperlink" Target="#&#32102;&#19982;&#28304;&#27849;&#24500;&#21454;&#31080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30906;&#23450;&#30003;&#21578;&#26360;A&#12539;B!A1"/><Relationship Id="rId2" Type="http://schemas.openxmlformats.org/officeDocument/2006/relationships/hyperlink" Target="#'&#24180;&#37329;&#28304;&#27849;&#24500;&#21454;&#31080; '!A1"/><Relationship Id="rId1" Type="http://schemas.openxmlformats.org/officeDocument/2006/relationships/hyperlink" Target="#&#32102;&#19982;&#28304;&#27849;&#24500;&#21454;&#31080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R6&#22269;&#20445;&#31246;&#35430;&#3163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R6&#22269;&#20445;&#31246;&#35430;&#31639;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6&#22269;&#20445;&#31246;&#35430;&#31639;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109904</xdr:colOff>
      <xdr:row>77</xdr:row>
      <xdr:rowOff>69606</xdr:rowOff>
    </xdr:from>
    <xdr:to>
      <xdr:col>106</xdr:col>
      <xdr:colOff>157532</xdr:colOff>
      <xdr:row>81</xdr:row>
      <xdr:rowOff>26337</xdr:rowOff>
    </xdr:to>
    <xdr:sp macro="" textlink="">
      <xdr:nvSpPr>
        <xdr:cNvPr id="17" name="角丸四角形吹き出し 16"/>
        <xdr:cNvSpPr/>
      </xdr:nvSpPr>
      <xdr:spPr>
        <a:xfrm>
          <a:off x="10953750" y="4158029"/>
          <a:ext cx="1842724" cy="792000"/>
        </a:xfrm>
        <a:prstGeom prst="wedgeRoundRectCallout">
          <a:avLst>
            <a:gd name="adj1" fmla="val -18042"/>
            <a:gd name="adj2" fmla="val -85792"/>
            <a:gd name="adj3" fmla="val 16667"/>
          </a:avLst>
        </a:prstGeom>
        <a:solidFill>
          <a:schemeClr val="bg1"/>
        </a:solidFill>
        <a:ln w="635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所得額の記載箇所を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確認したい場合は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クリックしてください</a:t>
          </a:r>
        </a:p>
      </xdr:txBody>
    </xdr:sp>
    <xdr:clientData/>
  </xdr:twoCellAnchor>
  <xdr:twoCellAnchor>
    <xdr:from>
      <xdr:col>100</xdr:col>
      <xdr:colOff>1051</xdr:colOff>
      <xdr:row>22</xdr:row>
      <xdr:rowOff>21981</xdr:rowOff>
    </xdr:from>
    <xdr:to>
      <xdr:col>103</xdr:col>
      <xdr:colOff>252784</xdr:colOff>
      <xdr:row>31</xdr:row>
      <xdr:rowOff>244931</xdr:rowOff>
    </xdr:to>
    <xdr:sp macro="" textlink="">
      <xdr:nvSpPr>
        <xdr:cNvPr id="24" name="角丸四角形 23">
          <a:hlinkClick xmlns:r="http://schemas.openxmlformats.org/officeDocument/2006/relationships" r:id="rId1"/>
        </xdr:cNvPr>
        <xdr:cNvSpPr/>
      </xdr:nvSpPr>
      <xdr:spPr>
        <a:xfrm>
          <a:off x="11101339" y="1487366"/>
          <a:ext cx="1021060" cy="618603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glow rad="228600">
            <a:schemeClr val="accent4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給与</a:t>
          </a:r>
        </a:p>
        <a:p>
          <a:pPr algn="ctr"/>
          <a:r>
            <a:rPr kumimoji="1" lang="ja-JP" altLang="en-US" sz="12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源泉徴収票</a:t>
          </a:r>
        </a:p>
      </xdr:txBody>
    </xdr:sp>
    <xdr:clientData/>
  </xdr:twoCellAnchor>
  <xdr:twoCellAnchor>
    <xdr:from>
      <xdr:col>100</xdr:col>
      <xdr:colOff>1051</xdr:colOff>
      <xdr:row>40</xdr:row>
      <xdr:rowOff>21981</xdr:rowOff>
    </xdr:from>
    <xdr:to>
      <xdr:col>103</xdr:col>
      <xdr:colOff>252784</xdr:colOff>
      <xdr:row>49</xdr:row>
      <xdr:rowOff>244931</xdr:rowOff>
    </xdr:to>
    <xdr:sp macro="" textlink="">
      <xdr:nvSpPr>
        <xdr:cNvPr id="25" name="角丸四角形 24">
          <a:hlinkClick xmlns:r="http://schemas.openxmlformats.org/officeDocument/2006/relationships" r:id="rId2"/>
        </xdr:cNvPr>
        <xdr:cNvSpPr/>
      </xdr:nvSpPr>
      <xdr:spPr>
        <a:xfrm>
          <a:off x="11101339" y="2278673"/>
          <a:ext cx="1021060" cy="618604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glow rad="228600">
            <a:schemeClr val="accent4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年金</a:t>
          </a:r>
          <a:endParaRPr kumimoji="1" lang="en-US" altLang="ja-JP" sz="120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源泉徴収票</a:t>
          </a:r>
        </a:p>
      </xdr:txBody>
    </xdr:sp>
    <xdr:clientData/>
  </xdr:twoCellAnchor>
  <xdr:twoCellAnchor>
    <xdr:from>
      <xdr:col>100</xdr:col>
      <xdr:colOff>1051</xdr:colOff>
      <xdr:row>58</xdr:row>
      <xdr:rowOff>21981</xdr:rowOff>
    </xdr:from>
    <xdr:to>
      <xdr:col>103</xdr:col>
      <xdr:colOff>252784</xdr:colOff>
      <xdr:row>67</xdr:row>
      <xdr:rowOff>244929</xdr:rowOff>
    </xdr:to>
    <xdr:sp macro="" textlink="">
      <xdr:nvSpPr>
        <xdr:cNvPr id="26" name="角丸四角形 25">
          <a:hlinkClick xmlns:r="http://schemas.openxmlformats.org/officeDocument/2006/relationships" r:id="rId3"/>
        </xdr:cNvPr>
        <xdr:cNvSpPr/>
      </xdr:nvSpPr>
      <xdr:spPr>
        <a:xfrm>
          <a:off x="11101339" y="3069981"/>
          <a:ext cx="1021060" cy="618602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glow rad="228600">
            <a:schemeClr val="accent4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確定申告書</a:t>
          </a:r>
          <a:endParaRPr kumimoji="1" lang="en-US" altLang="ja-JP" sz="120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Ａ・Ｂ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109904</xdr:colOff>
      <xdr:row>77</xdr:row>
      <xdr:rowOff>69606</xdr:rowOff>
    </xdr:from>
    <xdr:to>
      <xdr:col>106</xdr:col>
      <xdr:colOff>157532</xdr:colOff>
      <xdr:row>81</xdr:row>
      <xdr:rowOff>26337</xdr:rowOff>
    </xdr:to>
    <xdr:sp macro="" textlink="">
      <xdr:nvSpPr>
        <xdr:cNvPr id="2" name="角丸四角形吹き出し 1"/>
        <xdr:cNvSpPr/>
      </xdr:nvSpPr>
      <xdr:spPr>
        <a:xfrm>
          <a:off x="10987454" y="4184406"/>
          <a:ext cx="1847853" cy="785406"/>
        </a:xfrm>
        <a:prstGeom prst="wedgeRoundRectCallout">
          <a:avLst>
            <a:gd name="adj1" fmla="val -18042"/>
            <a:gd name="adj2" fmla="val -85792"/>
            <a:gd name="adj3" fmla="val 16667"/>
          </a:avLst>
        </a:prstGeom>
        <a:solidFill>
          <a:schemeClr val="bg1"/>
        </a:solidFill>
        <a:ln w="635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所得額の記載箇所を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確認したい場合は</a:t>
          </a:r>
          <a:endParaRPr kumimoji="1" lang="en-US" altLang="ja-JP" sz="12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クリックしてください</a:t>
          </a:r>
        </a:p>
      </xdr:txBody>
    </xdr:sp>
    <xdr:clientData/>
  </xdr:twoCellAnchor>
  <xdr:twoCellAnchor>
    <xdr:from>
      <xdr:col>100</xdr:col>
      <xdr:colOff>1051</xdr:colOff>
      <xdr:row>22</xdr:row>
      <xdr:rowOff>21981</xdr:rowOff>
    </xdr:from>
    <xdr:to>
      <xdr:col>103</xdr:col>
      <xdr:colOff>252784</xdr:colOff>
      <xdr:row>31</xdr:row>
      <xdr:rowOff>244931</xdr:rowOff>
    </xdr:to>
    <xdr:sp macro="" textlink="">
      <xdr:nvSpPr>
        <xdr:cNvPr id="3" name="角丸四角形 2">
          <a:hlinkClick xmlns:r="http://schemas.openxmlformats.org/officeDocument/2006/relationships" r:id="rId1"/>
        </xdr:cNvPr>
        <xdr:cNvSpPr/>
      </xdr:nvSpPr>
      <xdr:spPr>
        <a:xfrm>
          <a:off x="11135776" y="1488831"/>
          <a:ext cx="1023258" cy="623000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glow rad="228600">
            <a:schemeClr val="accent4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給与</a:t>
          </a:r>
        </a:p>
        <a:p>
          <a:pPr algn="ctr"/>
          <a:r>
            <a:rPr kumimoji="1" lang="ja-JP" altLang="en-US" sz="1200" b="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源泉徴収票</a:t>
          </a:r>
        </a:p>
      </xdr:txBody>
    </xdr:sp>
    <xdr:clientData/>
  </xdr:twoCellAnchor>
  <xdr:twoCellAnchor>
    <xdr:from>
      <xdr:col>100</xdr:col>
      <xdr:colOff>1051</xdr:colOff>
      <xdr:row>40</xdr:row>
      <xdr:rowOff>21981</xdr:rowOff>
    </xdr:from>
    <xdr:to>
      <xdr:col>103</xdr:col>
      <xdr:colOff>252784</xdr:colOff>
      <xdr:row>49</xdr:row>
      <xdr:rowOff>244931</xdr:rowOff>
    </xdr:to>
    <xdr:sp macro="" textlink="">
      <xdr:nvSpPr>
        <xdr:cNvPr id="4" name="角丸四角形 3">
          <a:hlinkClick xmlns:r="http://schemas.openxmlformats.org/officeDocument/2006/relationships" r:id="rId2"/>
        </xdr:cNvPr>
        <xdr:cNvSpPr/>
      </xdr:nvSpPr>
      <xdr:spPr>
        <a:xfrm>
          <a:off x="11135776" y="2288931"/>
          <a:ext cx="1023258" cy="623000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glow rad="228600">
            <a:schemeClr val="accent4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年金</a:t>
          </a:r>
          <a:endParaRPr kumimoji="1" lang="en-US" altLang="ja-JP" sz="120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源泉徴収票</a:t>
          </a:r>
        </a:p>
      </xdr:txBody>
    </xdr:sp>
    <xdr:clientData/>
  </xdr:twoCellAnchor>
  <xdr:twoCellAnchor>
    <xdr:from>
      <xdr:col>100</xdr:col>
      <xdr:colOff>1051</xdr:colOff>
      <xdr:row>58</xdr:row>
      <xdr:rowOff>21981</xdr:rowOff>
    </xdr:from>
    <xdr:to>
      <xdr:col>103</xdr:col>
      <xdr:colOff>252784</xdr:colOff>
      <xdr:row>67</xdr:row>
      <xdr:rowOff>244929</xdr:rowOff>
    </xdr:to>
    <xdr:sp macro="" textlink="">
      <xdr:nvSpPr>
        <xdr:cNvPr id="5" name="角丸四角形 4">
          <a:hlinkClick xmlns:r="http://schemas.openxmlformats.org/officeDocument/2006/relationships" r:id="rId3"/>
        </xdr:cNvPr>
        <xdr:cNvSpPr/>
      </xdr:nvSpPr>
      <xdr:spPr>
        <a:xfrm>
          <a:off x="11135776" y="3089031"/>
          <a:ext cx="1023258" cy="622998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glow rad="228600">
            <a:schemeClr val="accent4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確定申告書</a:t>
          </a:r>
          <a:endParaRPr kumimoji="1" lang="en-US" altLang="ja-JP" sz="1200">
            <a:solidFill>
              <a:srgbClr val="FFFF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rgbClr val="FFFF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Ａ・Ｂ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66018</xdr:colOff>
      <xdr:row>6</xdr:row>
      <xdr:rowOff>468922</xdr:rowOff>
    </xdr:from>
    <xdr:to>
      <xdr:col>54</xdr:col>
      <xdr:colOff>26276</xdr:colOff>
      <xdr:row>9</xdr:row>
      <xdr:rowOff>45982</xdr:rowOff>
    </xdr:to>
    <xdr:sp macro="" textlink="">
      <xdr:nvSpPr>
        <xdr:cNvPr id="2" name="角丸四角形 1"/>
        <xdr:cNvSpPr/>
      </xdr:nvSpPr>
      <xdr:spPr>
        <a:xfrm>
          <a:off x="3571218" y="2059597"/>
          <a:ext cx="1674758" cy="672435"/>
        </a:xfrm>
        <a:prstGeom prst="roundRect">
          <a:avLst/>
        </a:prstGeom>
        <a:noFill/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41681</xdr:colOff>
      <xdr:row>15</xdr:row>
      <xdr:rowOff>81455</xdr:rowOff>
    </xdr:from>
    <xdr:to>
      <xdr:col>61</xdr:col>
      <xdr:colOff>33130</xdr:colOff>
      <xdr:row>15</xdr:row>
      <xdr:rowOff>614796</xdr:rowOff>
    </xdr:to>
    <xdr:sp macro="" textlink="">
      <xdr:nvSpPr>
        <xdr:cNvPr id="3" name="角丸四角形 2"/>
        <xdr:cNvSpPr/>
      </xdr:nvSpPr>
      <xdr:spPr>
        <a:xfrm>
          <a:off x="3167613" y="4688091"/>
          <a:ext cx="2753699" cy="533341"/>
        </a:xfrm>
        <a:prstGeom prst="roundRect">
          <a:avLst>
            <a:gd name="adj" fmla="val 10684"/>
          </a:avLst>
        </a:prstGeom>
        <a:noFill/>
        <a:ln w="7620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給与所得控除後の金額が</a:t>
          </a:r>
          <a:r>
            <a:rPr kumimoji="1" lang="ja-JP" altLang="en-US" sz="1200" b="1" u="dbl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所得額</a:t>
          </a:r>
          <a:r>
            <a:rPr kumimoji="1" lang="ja-JP" altLang="en-US" sz="12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kumimoji="1" lang="en-US" altLang="ja-JP" sz="12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こちらの金額を入力してください。</a:t>
          </a:r>
        </a:p>
      </xdr:txBody>
    </xdr:sp>
    <xdr:clientData/>
  </xdr:twoCellAnchor>
  <xdr:twoCellAnchor>
    <xdr:from>
      <xdr:col>45</xdr:col>
      <xdr:colOff>80799</xdr:colOff>
      <xdr:row>9</xdr:row>
      <xdr:rowOff>71930</xdr:rowOff>
    </xdr:from>
    <xdr:to>
      <xdr:col>45</xdr:col>
      <xdr:colOff>85396</xdr:colOff>
      <xdr:row>15</xdr:row>
      <xdr:rowOff>98535</xdr:rowOff>
    </xdr:to>
    <xdr:cxnSp macro="">
      <xdr:nvCxnSpPr>
        <xdr:cNvPr id="4" name="直線矢印コネクタ 3"/>
        <xdr:cNvCxnSpPr/>
      </xdr:nvCxnSpPr>
      <xdr:spPr>
        <a:xfrm flipH="1" flipV="1">
          <a:off x="4443249" y="2757980"/>
          <a:ext cx="4597" cy="1950655"/>
        </a:xfrm>
        <a:prstGeom prst="straightConnector1">
          <a:avLst/>
        </a:prstGeom>
        <a:ln w="76200"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88</xdr:col>
      <xdr:colOff>190500</xdr:colOff>
      <xdr:row>15</xdr:row>
      <xdr:rowOff>86591</xdr:rowOff>
    </xdr:from>
    <xdr:to>
      <xdr:col>90</xdr:col>
      <xdr:colOff>34637</xdr:colOff>
      <xdr:row>15</xdr:row>
      <xdr:rowOff>917864</xdr:rowOff>
    </xdr:to>
    <xdr:sp macro="" textlink="">
      <xdr:nvSpPr>
        <xdr:cNvPr id="10" name="角丸四角形 9">
          <a:hlinkClick xmlns:r="http://schemas.openxmlformats.org/officeDocument/2006/relationships" r:id="rId1"/>
        </xdr:cNvPr>
        <xdr:cNvSpPr/>
      </xdr:nvSpPr>
      <xdr:spPr>
        <a:xfrm>
          <a:off x="8650432" y="4693227"/>
          <a:ext cx="1134341" cy="831273"/>
        </a:xfrm>
        <a:prstGeom prst="roundRect">
          <a:avLst/>
        </a:prstGeom>
        <a:solidFill>
          <a:schemeClr val="bg2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試算に戻る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</xdr:colOff>
      <xdr:row>5</xdr:row>
      <xdr:rowOff>278422</xdr:rowOff>
    </xdr:from>
    <xdr:to>
      <xdr:col>59</xdr:col>
      <xdr:colOff>28574</xdr:colOff>
      <xdr:row>11</xdr:row>
      <xdr:rowOff>38100</xdr:rowOff>
    </xdr:to>
    <xdr:sp macro="" textlink="">
      <xdr:nvSpPr>
        <xdr:cNvPr id="2" name="角丸四角形 1"/>
        <xdr:cNvSpPr/>
      </xdr:nvSpPr>
      <xdr:spPr>
        <a:xfrm>
          <a:off x="3419475" y="1602397"/>
          <a:ext cx="2305049" cy="1178903"/>
        </a:xfrm>
        <a:prstGeom prst="roundRect">
          <a:avLst>
            <a:gd name="adj" fmla="val 9921"/>
          </a:avLst>
        </a:prstGeom>
        <a:noFill/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63090</xdr:colOff>
      <xdr:row>11</xdr:row>
      <xdr:rowOff>206745</xdr:rowOff>
    </xdr:from>
    <xdr:to>
      <xdr:col>63</xdr:col>
      <xdr:colOff>19050</xdr:colOff>
      <xdr:row>18</xdr:row>
      <xdr:rowOff>38100</xdr:rowOff>
    </xdr:to>
    <xdr:sp macro="" textlink="">
      <xdr:nvSpPr>
        <xdr:cNvPr id="3" name="角丸四角形 2"/>
        <xdr:cNvSpPr/>
      </xdr:nvSpPr>
      <xdr:spPr>
        <a:xfrm>
          <a:off x="3189022" y="2917040"/>
          <a:ext cx="2908710" cy="1407310"/>
        </a:xfrm>
        <a:prstGeom prst="roundRect">
          <a:avLst>
            <a:gd name="adj" fmla="val 10684"/>
          </a:avLst>
        </a:prstGeom>
        <a:solidFill>
          <a:schemeClr val="bg1"/>
        </a:solidFill>
        <a:ln w="7620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年金の支払金額の合計を年金の支払金額に入力し、表示された所得金額を試算入力シートのに入力してください。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年金収入が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か所以上ある場合は、合計額を入力してください。（遺族年金・障害年金は除きます）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59</xdr:col>
      <xdr:colOff>42169</xdr:colOff>
      <xdr:row>7</xdr:row>
      <xdr:rowOff>38100</xdr:rowOff>
    </xdr:from>
    <xdr:to>
      <xdr:col>93</xdr:col>
      <xdr:colOff>676275</xdr:colOff>
      <xdr:row>8</xdr:row>
      <xdr:rowOff>122714</xdr:rowOff>
    </xdr:to>
    <xdr:cxnSp macro="">
      <xdr:nvCxnSpPr>
        <xdr:cNvPr id="4" name="直線矢印コネクタ 3"/>
        <xdr:cNvCxnSpPr/>
      </xdr:nvCxnSpPr>
      <xdr:spPr>
        <a:xfrm flipV="1">
          <a:off x="5738119" y="1866900"/>
          <a:ext cx="3186806" cy="313214"/>
        </a:xfrm>
        <a:prstGeom prst="straightConnector1">
          <a:avLst/>
        </a:prstGeom>
        <a:ln w="76200"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647701</xdr:colOff>
      <xdr:row>9</xdr:row>
      <xdr:rowOff>152400</xdr:rowOff>
    </xdr:from>
    <xdr:to>
      <xdr:col>94</xdr:col>
      <xdr:colOff>1181100</xdr:colOff>
      <xdr:row>12</xdr:row>
      <xdr:rowOff>104775</xdr:rowOff>
    </xdr:to>
    <xdr:sp macro="" textlink="">
      <xdr:nvSpPr>
        <xdr:cNvPr id="6" name="下矢印 5"/>
        <xdr:cNvSpPr/>
      </xdr:nvSpPr>
      <xdr:spPr>
        <a:xfrm>
          <a:off x="9572626" y="2438400"/>
          <a:ext cx="533399" cy="638175"/>
        </a:xfrm>
        <a:prstGeom prst="downArrow">
          <a:avLst/>
        </a:prstGeom>
        <a:solidFill>
          <a:schemeClr val="bg1"/>
        </a:solidFill>
        <a:ln w="57150">
          <a:solidFill>
            <a:schemeClr val="accent5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94</xdr:col>
      <xdr:colOff>17319</xdr:colOff>
      <xdr:row>0</xdr:row>
      <xdr:rowOff>199159</xdr:rowOff>
    </xdr:from>
    <xdr:to>
      <xdr:col>94</xdr:col>
      <xdr:colOff>1151660</xdr:colOff>
      <xdr:row>3</xdr:row>
      <xdr:rowOff>121227</xdr:rowOff>
    </xdr:to>
    <xdr:sp macro="" textlink="">
      <xdr:nvSpPr>
        <xdr:cNvPr id="8" name="角丸四角形 7">
          <a:hlinkClick xmlns:r="http://schemas.openxmlformats.org/officeDocument/2006/relationships" r:id="rId1"/>
        </xdr:cNvPr>
        <xdr:cNvSpPr/>
      </xdr:nvSpPr>
      <xdr:spPr>
        <a:xfrm>
          <a:off x="8944842" y="199159"/>
          <a:ext cx="1134341" cy="831273"/>
        </a:xfrm>
        <a:prstGeom prst="roundRect">
          <a:avLst/>
        </a:prstGeom>
        <a:solidFill>
          <a:srgbClr val="E7E6E6">
            <a:lumMod val="75000"/>
          </a:srgbClr>
        </a:solidFill>
        <a:ln w="12700" cap="flat" cmpd="sng" algn="ctr">
          <a:noFill/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試算に戻る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85724</xdr:colOff>
      <xdr:row>4</xdr:row>
      <xdr:rowOff>76199</xdr:rowOff>
    </xdr:from>
    <xdr:to>
      <xdr:col>20</xdr:col>
      <xdr:colOff>66675</xdr:colOff>
      <xdr:row>39</xdr:row>
      <xdr:rowOff>142875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461" t="19539" r="39888" b="21380"/>
        <a:stretch/>
      </xdr:blipFill>
      <xdr:spPr>
        <a:xfrm>
          <a:off x="6143624" y="1028699"/>
          <a:ext cx="6153151" cy="605790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11</xdr:col>
      <xdr:colOff>361950</xdr:colOff>
      <xdr:row>37</xdr:row>
      <xdr:rowOff>247649</xdr:rowOff>
    </xdr:from>
    <xdr:to>
      <xdr:col>15</xdr:col>
      <xdr:colOff>352424</xdr:colOff>
      <xdr:row>39</xdr:row>
      <xdr:rowOff>28575</xdr:rowOff>
    </xdr:to>
    <xdr:sp macro="" textlink="">
      <xdr:nvSpPr>
        <xdr:cNvPr id="3" name="角丸四角形 2"/>
        <xdr:cNvSpPr/>
      </xdr:nvSpPr>
      <xdr:spPr>
        <a:xfrm>
          <a:off x="6419850" y="6753224"/>
          <a:ext cx="2733674" cy="219076"/>
        </a:xfrm>
        <a:prstGeom prst="roundRect">
          <a:avLst>
            <a:gd name="adj" fmla="val 6838"/>
          </a:avLst>
        </a:prstGeom>
        <a:noFill/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9</xdr:col>
      <xdr:colOff>523875</xdr:colOff>
      <xdr:row>30</xdr:row>
      <xdr:rowOff>38101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702" t="20281" r="42440" b="36288"/>
        <a:stretch/>
      </xdr:blipFill>
      <xdr:spPr>
        <a:xfrm>
          <a:off x="333374" y="981075"/>
          <a:ext cx="5276851" cy="446722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2</xdr:col>
      <xdr:colOff>161926</xdr:colOff>
      <xdr:row>28</xdr:row>
      <xdr:rowOff>0</xdr:rowOff>
    </xdr:from>
    <xdr:to>
      <xdr:col>6</xdr:col>
      <xdr:colOff>66676</xdr:colOff>
      <xdr:row>29</xdr:row>
      <xdr:rowOff>76199</xdr:rowOff>
    </xdr:to>
    <xdr:sp macro="" textlink="">
      <xdr:nvSpPr>
        <xdr:cNvPr id="5" name="角丸四角形 4"/>
        <xdr:cNvSpPr/>
      </xdr:nvSpPr>
      <xdr:spPr>
        <a:xfrm>
          <a:off x="809626" y="5067300"/>
          <a:ext cx="2286000" cy="247649"/>
        </a:xfrm>
        <a:prstGeom prst="roundRect">
          <a:avLst>
            <a:gd name="adj" fmla="val 7233"/>
          </a:avLst>
        </a:prstGeom>
        <a:noFill/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247652</xdr:colOff>
      <xdr:row>33</xdr:row>
      <xdr:rowOff>123826</xdr:rowOff>
    </xdr:from>
    <xdr:to>
      <xdr:col>8</xdr:col>
      <xdr:colOff>333376</xdr:colOff>
      <xdr:row>37</xdr:row>
      <xdr:rowOff>104775</xdr:rowOff>
    </xdr:to>
    <xdr:sp macro="" textlink="">
      <xdr:nvSpPr>
        <xdr:cNvPr id="6" name="角丸四角形 5"/>
        <xdr:cNvSpPr/>
      </xdr:nvSpPr>
      <xdr:spPr>
        <a:xfrm>
          <a:off x="895352" y="6048376"/>
          <a:ext cx="3838574" cy="561974"/>
        </a:xfrm>
        <a:prstGeom prst="roundRect">
          <a:avLst>
            <a:gd name="adj" fmla="val 10684"/>
          </a:avLst>
        </a:prstGeom>
        <a:solidFill>
          <a:schemeClr val="bg1"/>
        </a:solidFill>
        <a:ln w="7620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確定申告書で入力する場合は、給与所得及び年金所得は入力せず、所得金額等の合計を入力してください。</a:t>
          </a:r>
        </a:p>
      </xdr:txBody>
    </xdr:sp>
    <xdr:clientData/>
  </xdr:twoCellAnchor>
  <xdr:twoCellAnchor>
    <xdr:from>
      <xdr:col>8</xdr:col>
      <xdr:colOff>333376</xdr:colOff>
      <xdr:row>35</xdr:row>
      <xdr:rowOff>61913</xdr:rowOff>
    </xdr:from>
    <xdr:to>
      <xdr:col>11</xdr:col>
      <xdr:colOff>323850</xdr:colOff>
      <xdr:row>38</xdr:row>
      <xdr:rowOff>104775</xdr:rowOff>
    </xdr:to>
    <xdr:cxnSp macro="">
      <xdr:nvCxnSpPr>
        <xdr:cNvPr id="7" name="直線矢印コネクタ 6"/>
        <xdr:cNvCxnSpPr>
          <a:stCxn id="6" idx="3"/>
        </xdr:cNvCxnSpPr>
      </xdr:nvCxnSpPr>
      <xdr:spPr>
        <a:xfrm>
          <a:off x="4733926" y="6329363"/>
          <a:ext cx="1647824" cy="547687"/>
        </a:xfrm>
        <a:prstGeom prst="straightConnector1">
          <a:avLst/>
        </a:prstGeom>
        <a:ln w="76200"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30</xdr:row>
      <xdr:rowOff>38100</xdr:rowOff>
    </xdr:from>
    <xdr:to>
      <xdr:col>3</xdr:col>
      <xdr:colOff>628651</xdr:colOff>
      <xdr:row>33</xdr:row>
      <xdr:rowOff>104776</xdr:rowOff>
    </xdr:to>
    <xdr:cxnSp macro="">
      <xdr:nvCxnSpPr>
        <xdr:cNvPr id="8" name="直線矢印コネクタ 7"/>
        <xdr:cNvCxnSpPr/>
      </xdr:nvCxnSpPr>
      <xdr:spPr>
        <a:xfrm flipH="1" flipV="1">
          <a:off x="1600200" y="5448300"/>
          <a:ext cx="1" cy="581026"/>
        </a:xfrm>
        <a:prstGeom prst="straightConnector1">
          <a:avLst/>
        </a:prstGeom>
        <a:ln w="76200">
          <a:solidFill>
            <a:schemeClr val="accent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323850</xdr:colOff>
      <xdr:row>0</xdr:row>
      <xdr:rowOff>76200</xdr:rowOff>
    </xdr:from>
    <xdr:to>
      <xdr:col>20</xdr:col>
      <xdr:colOff>86591</xdr:colOff>
      <xdr:row>3</xdr:row>
      <xdr:rowOff>164523</xdr:rowOff>
    </xdr:to>
    <xdr:sp macro="" textlink="">
      <xdr:nvSpPr>
        <xdr:cNvPr id="16" name="角丸四角形 15">
          <a:hlinkClick xmlns:r="http://schemas.openxmlformats.org/officeDocument/2006/relationships" r:id="rId3"/>
        </xdr:cNvPr>
        <xdr:cNvSpPr/>
      </xdr:nvSpPr>
      <xdr:spPr>
        <a:xfrm>
          <a:off x="11182350" y="76200"/>
          <a:ext cx="1134341" cy="831273"/>
        </a:xfrm>
        <a:prstGeom prst="roundRect">
          <a:avLst/>
        </a:prstGeom>
        <a:solidFill>
          <a:srgbClr val="E7E6E6">
            <a:lumMod val="75000"/>
          </a:srgbClr>
        </a:solidFill>
        <a:ln w="12700" cap="flat" cmpd="sng" algn="ctr">
          <a:noFill/>
          <a:prstDash val="solid"/>
          <a:miter lim="800000"/>
        </a:ln>
        <a:effectLst/>
        <a:scene3d>
          <a:camera prst="orthographicFront"/>
          <a:lightRig rig="threePt" dir="t"/>
        </a:scene3d>
        <a:sp3d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試算に戻る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-0.249977111117893"/>
    <pageSetUpPr fitToPage="1"/>
  </sheetPr>
  <dimension ref="A1:CU81"/>
  <sheetViews>
    <sheetView showGridLines="0" tabSelected="1" zoomScaleNormal="100" zoomScaleSheetLayoutView="130" workbookViewId="0">
      <selection activeCell="F23" sqref="F23:I23"/>
    </sheetView>
  </sheetViews>
  <sheetFormatPr defaultColWidth="3.375" defaultRowHeight="20.100000000000001" customHeight="1"/>
  <cols>
    <col min="1" max="1" width="3.375" style="3"/>
    <col min="2" max="2" width="0.875" style="2" customWidth="1"/>
    <col min="3" max="18" width="3.375" style="3"/>
    <col min="19" max="19" width="0.875" style="3" customWidth="1"/>
    <col min="20" max="22" width="3.375" style="3"/>
    <col min="23" max="24" width="3.375" style="3" hidden="1" customWidth="1"/>
    <col min="25" max="25" width="0.875" style="3" hidden="1" customWidth="1"/>
    <col min="26" max="32" width="3.375" style="3" hidden="1" customWidth="1"/>
    <col min="33" max="33" width="0.875" style="3" hidden="1" customWidth="1"/>
    <col min="34" max="38" width="3.375" style="3" hidden="1" customWidth="1"/>
    <col min="39" max="39" width="3.375" style="3" customWidth="1"/>
    <col min="40" max="40" width="3.375" style="3"/>
    <col min="41" max="41" width="0.875" style="3" customWidth="1"/>
    <col min="42" max="46" width="3.375" style="3"/>
    <col min="47" max="48" width="3.375" style="3" hidden="1" customWidth="1"/>
    <col min="49" max="49" width="0.875" style="3" hidden="1" customWidth="1"/>
    <col min="50" max="56" width="3.375" style="3" hidden="1" customWidth="1"/>
    <col min="57" max="57" width="0.875" style="3" hidden="1" customWidth="1"/>
    <col min="58" max="61" width="3.375" style="3" hidden="1" customWidth="1"/>
    <col min="62" max="62" width="0.875" style="3" hidden="1" customWidth="1"/>
    <col min="63" max="69" width="3.375" style="3" hidden="1" customWidth="1"/>
    <col min="70" max="70" width="0.875" style="3" hidden="1" customWidth="1"/>
    <col min="71" max="77" width="3.375" style="3" hidden="1" customWidth="1"/>
    <col min="78" max="78" width="0.875" style="3" hidden="1" customWidth="1"/>
    <col min="79" max="83" width="3.375" style="3" hidden="1" customWidth="1"/>
    <col min="84" max="84" width="3.375" style="3" customWidth="1"/>
    <col min="85" max="85" width="3.375" style="3"/>
    <col min="86" max="86" width="0.875" style="3" customWidth="1"/>
    <col min="87" max="93" width="3.375" style="3"/>
    <col min="94" max="94" width="0.875" style="3" customWidth="1"/>
    <col min="95" max="16384" width="3.375" style="3"/>
  </cols>
  <sheetData>
    <row r="1" spans="1:99" ht="20.100000000000001" customHeight="1">
      <c r="A1" s="1" t="s">
        <v>166</v>
      </c>
      <c r="R1" s="1"/>
    </row>
    <row r="2" spans="1:99" ht="20.100000000000001" customHeight="1">
      <c r="A2" s="180" t="s">
        <v>167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0"/>
      <c r="CN2" s="180"/>
      <c r="CO2" s="180"/>
      <c r="CP2" s="180"/>
      <c r="CQ2" s="180"/>
      <c r="CR2" s="180"/>
      <c r="CS2" s="180"/>
      <c r="CT2" s="180"/>
      <c r="CU2" s="180"/>
    </row>
    <row r="3" spans="1:99" ht="20.100000000000001" customHeight="1">
      <c r="A3" s="174"/>
      <c r="AR3" s="4" t="s">
        <v>3</v>
      </c>
      <c r="CI3" s="4" t="s">
        <v>22</v>
      </c>
      <c r="CQ3" s="4" t="s">
        <v>21</v>
      </c>
    </row>
    <row r="4" spans="1:99" ht="20.100000000000001" customHeight="1">
      <c r="O4" s="86"/>
      <c r="AR4" s="186" t="str">
        <f>IF(BF23="","",IF(BF23=0.7,7,IF(BF23=0.5,5,IF(BF23=0.2,2,""))))</f>
        <v/>
      </c>
      <c r="AS4" s="186"/>
      <c r="AT4" s="5" t="s">
        <v>2</v>
      </c>
      <c r="CI4" s="185">
        <f>ROUNDDOWN(CQ4/12,-2)</f>
        <v>0</v>
      </c>
      <c r="CJ4" s="185"/>
      <c r="CK4" s="185"/>
      <c r="CL4" s="185"/>
      <c r="CM4" s="5" t="s">
        <v>4</v>
      </c>
      <c r="CQ4" s="185">
        <f>IF(AND(CQ7=0,AZ15&lt;=CQ9),AZ15-(CA32+CA41+CA50+CA59+CA68),IF(AND(CQ7=0,CQ9&lt;AZ15),CQ9,IF(AND(CQ9=0,AZ17&lt;=CQ7),AZ17-(CA32+CA41+CA50+CA59+CA68),IF(AND(CQ9=0,CQ7&lt;AZ17),CQ7,0))))</f>
        <v>0</v>
      </c>
      <c r="CR4" s="185"/>
      <c r="CS4" s="185"/>
      <c r="CT4" s="185"/>
      <c r="CU4" s="5" t="s">
        <v>4</v>
      </c>
    </row>
    <row r="5" spans="1:99" ht="19.5" customHeight="1">
      <c r="A5" s="85"/>
      <c r="C5" s="4" t="s">
        <v>1</v>
      </c>
      <c r="D5" s="2"/>
      <c r="I5" s="87" t="str">
        <f>IF(L32="している",COUNT(T23:U68),IF(L32="していない",COUNT(T32:U68),""))</f>
        <v/>
      </c>
      <c r="J5" s="175" t="s">
        <v>0</v>
      </c>
      <c r="CQ5" s="4"/>
    </row>
    <row r="6" spans="1:99" ht="6" hidden="1" customHeight="1">
      <c r="C6" s="4"/>
      <c r="D6" s="2"/>
      <c r="I6" s="82"/>
      <c r="J6" s="175"/>
      <c r="CQ6" s="4"/>
    </row>
    <row r="7" spans="1:99" ht="20.100000000000001" hidden="1" customHeight="1">
      <c r="A7" s="84"/>
      <c r="C7" s="4"/>
      <c r="D7" s="2"/>
      <c r="I7" s="82"/>
      <c r="J7" s="175"/>
      <c r="CI7" s="4" t="s">
        <v>156</v>
      </c>
      <c r="CL7" s="4"/>
      <c r="CQ7" s="185">
        <f>IF(OR(D15="あり",D17="あり",D19="あり",H15="あり",H17="あり",H19="あり"),SUM(CQ23+CQ32+CQ41+CQ50+CQ59+CQ68),0)</f>
        <v>0</v>
      </c>
      <c r="CR7" s="185"/>
      <c r="CS7" s="185"/>
      <c r="CT7" s="185"/>
      <c r="CU7" s="5" t="s">
        <v>4</v>
      </c>
    </row>
    <row r="8" spans="1:99" ht="6" hidden="1" customHeight="1">
      <c r="A8" s="2"/>
      <c r="C8" s="4"/>
      <c r="D8" s="2"/>
      <c r="I8" s="82"/>
      <c r="J8" s="175"/>
      <c r="CQ8" s="4"/>
    </row>
    <row r="9" spans="1:99" ht="20.100000000000001" hidden="1" customHeight="1">
      <c r="A9" s="183" t="s">
        <v>3</v>
      </c>
      <c r="B9" s="6"/>
      <c r="C9" s="175">
        <v>7</v>
      </c>
      <c r="D9" s="3" t="s">
        <v>2</v>
      </c>
      <c r="E9" s="181">
        <v>430000</v>
      </c>
      <c r="F9" s="181"/>
      <c r="G9" s="181"/>
      <c r="H9" s="181"/>
      <c r="I9" s="175" t="s">
        <v>4</v>
      </c>
      <c r="R9" s="183" t="s">
        <v>133</v>
      </c>
      <c r="S9" s="6"/>
      <c r="T9" s="182" t="s">
        <v>130</v>
      </c>
      <c r="U9" s="182"/>
      <c r="V9" s="199">
        <v>6.72</v>
      </c>
      <c r="W9" s="199"/>
      <c r="X9" s="199"/>
      <c r="Y9" s="199"/>
      <c r="Z9" s="175" t="s">
        <v>134</v>
      </c>
      <c r="AA9" s="175"/>
      <c r="AN9" s="183" t="s">
        <v>136</v>
      </c>
      <c r="AO9" s="175"/>
      <c r="AP9" s="198">
        <v>430000</v>
      </c>
      <c r="AQ9" s="198"/>
      <c r="AR9" s="198"/>
      <c r="AS9" s="198"/>
      <c r="AT9" s="175" t="s">
        <v>137</v>
      </c>
      <c r="AV9" s="183" t="s">
        <v>158</v>
      </c>
      <c r="AW9" s="175"/>
      <c r="AX9" s="182" t="s">
        <v>130</v>
      </c>
      <c r="AY9" s="182"/>
      <c r="AZ9" s="181">
        <v>660000</v>
      </c>
      <c r="BA9" s="181"/>
      <c r="BB9" s="181"/>
      <c r="BC9" s="181"/>
      <c r="BD9" s="175" t="s">
        <v>4</v>
      </c>
      <c r="BE9" s="175"/>
      <c r="BF9" s="175"/>
      <c r="BG9" s="175"/>
      <c r="BH9" s="175"/>
      <c r="BI9" s="183" t="s">
        <v>135</v>
      </c>
      <c r="BJ9" s="6"/>
      <c r="BK9" s="182" t="s">
        <v>130</v>
      </c>
      <c r="BL9" s="182"/>
      <c r="BM9" s="181">
        <v>35800</v>
      </c>
      <c r="BN9" s="181"/>
      <c r="BO9" s="181"/>
      <c r="BP9" s="181"/>
      <c r="BQ9" s="175" t="s">
        <v>4</v>
      </c>
      <c r="BR9" s="175"/>
      <c r="BS9" s="175"/>
      <c r="BT9" s="175"/>
      <c r="BU9" s="175"/>
      <c r="BV9" s="175"/>
      <c r="BW9" s="175"/>
      <c r="CI9" s="4" t="s">
        <v>157</v>
      </c>
      <c r="CL9" s="4"/>
      <c r="CQ9" s="185">
        <f>IF(AND(D15="なし",D17="なし",D19="なし",H15="なし",H17="なし",H19="なし"),SUM(CQ23+CQ32+CQ41+CQ50+CQ59+CQ68),0)</f>
        <v>0</v>
      </c>
      <c r="CR9" s="185"/>
      <c r="CS9" s="185"/>
      <c r="CT9" s="185"/>
      <c r="CU9" s="5" t="s">
        <v>4</v>
      </c>
    </row>
    <row r="10" spans="1:99" ht="6" hidden="1" customHeight="1">
      <c r="A10" s="183"/>
      <c r="B10" s="6"/>
      <c r="C10" s="175"/>
      <c r="E10" s="7"/>
      <c r="F10" s="7"/>
      <c r="G10" s="7"/>
      <c r="H10" s="7"/>
      <c r="I10" s="175"/>
      <c r="R10" s="183"/>
      <c r="S10" s="6"/>
      <c r="T10" s="175"/>
      <c r="V10" s="176"/>
      <c r="W10" s="176"/>
      <c r="X10" s="176"/>
      <c r="Y10" s="176"/>
      <c r="AN10" s="183"/>
      <c r="AO10" s="175"/>
      <c r="AV10" s="183"/>
      <c r="AW10" s="175"/>
      <c r="AX10" s="175"/>
      <c r="AZ10" s="176"/>
      <c r="BA10" s="176"/>
      <c r="BB10" s="176"/>
      <c r="BC10" s="176"/>
      <c r="BI10" s="183"/>
      <c r="BJ10" s="6"/>
      <c r="BK10" s="175"/>
      <c r="BM10" s="176"/>
      <c r="BN10" s="176"/>
      <c r="BO10" s="176"/>
      <c r="BP10" s="176"/>
      <c r="CQ10" s="4"/>
    </row>
    <row r="11" spans="1:99" ht="20.100000000000001" hidden="1" customHeight="1">
      <c r="A11" s="183"/>
      <c r="B11" s="6"/>
      <c r="C11" s="175">
        <v>5</v>
      </c>
      <c r="D11" s="3" t="s">
        <v>2</v>
      </c>
      <c r="E11" s="184" t="str">
        <f>IF($I$5="","",$AP$9+K11*$I$5)</f>
        <v/>
      </c>
      <c r="F11" s="184"/>
      <c r="G11" s="184"/>
      <c r="H11" s="184"/>
      <c r="I11" s="175" t="s">
        <v>4</v>
      </c>
      <c r="K11" s="181">
        <v>305000</v>
      </c>
      <c r="L11" s="181"/>
      <c r="M11" s="181"/>
      <c r="N11" s="181"/>
      <c r="O11" s="175" t="s">
        <v>4</v>
      </c>
      <c r="R11" s="183"/>
      <c r="S11" s="6"/>
      <c r="T11" s="182" t="s">
        <v>131</v>
      </c>
      <c r="U11" s="182"/>
      <c r="V11" s="199">
        <v>2.85</v>
      </c>
      <c r="W11" s="199"/>
      <c r="X11" s="199"/>
      <c r="Y11" s="199"/>
      <c r="Z11" s="175" t="s">
        <v>134</v>
      </c>
      <c r="AA11" s="175"/>
      <c r="AN11" s="183"/>
      <c r="AO11" s="175"/>
      <c r="AV11" s="183"/>
      <c r="AW11" s="175"/>
      <c r="AX11" s="182" t="s">
        <v>131</v>
      </c>
      <c r="AY11" s="182"/>
      <c r="AZ11" s="181">
        <v>260000</v>
      </c>
      <c r="BA11" s="181"/>
      <c r="BB11" s="181"/>
      <c r="BC11" s="181"/>
      <c r="BD11" s="175" t="s">
        <v>4</v>
      </c>
      <c r="BE11" s="175"/>
      <c r="BF11" s="175"/>
      <c r="BG11" s="175"/>
      <c r="BH11" s="175"/>
      <c r="BI11" s="183"/>
      <c r="BJ11" s="6"/>
      <c r="BK11" s="182" t="s">
        <v>131</v>
      </c>
      <c r="BL11" s="182"/>
      <c r="BM11" s="181">
        <v>15700</v>
      </c>
      <c r="BN11" s="181"/>
      <c r="BO11" s="181"/>
      <c r="BP11" s="181"/>
      <c r="BQ11" s="175" t="s">
        <v>4</v>
      </c>
      <c r="BR11" s="175"/>
      <c r="BS11" s="175"/>
      <c r="BT11" s="175"/>
      <c r="BU11" s="175"/>
      <c r="BV11" s="175"/>
      <c r="BW11" s="175"/>
    </row>
    <row r="12" spans="1:99" ht="6" hidden="1" customHeight="1">
      <c r="A12" s="183"/>
      <c r="B12" s="6"/>
      <c r="C12" s="175"/>
      <c r="E12" s="7"/>
      <c r="F12" s="7"/>
      <c r="G12" s="7"/>
      <c r="H12" s="7"/>
      <c r="I12" s="175"/>
      <c r="R12" s="183"/>
      <c r="S12" s="6"/>
      <c r="T12" s="175"/>
      <c r="V12" s="176"/>
      <c r="W12" s="176"/>
      <c r="X12" s="176"/>
      <c r="Y12" s="176"/>
      <c r="AN12" s="183"/>
      <c r="AO12" s="175"/>
      <c r="AV12" s="183"/>
      <c r="AW12" s="175"/>
      <c r="AX12" s="175"/>
      <c r="AZ12" s="176"/>
      <c r="BA12" s="176"/>
      <c r="BB12" s="176"/>
      <c r="BC12" s="176"/>
      <c r="BI12" s="183"/>
      <c r="BJ12" s="6"/>
      <c r="BK12" s="175"/>
      <c r="BM12" s="176"/>
      <c r="BN12" s="176"/>
      <c r="BO12" s="176"/>
      <c r="BP12" s="176"/>
    </row>
    <row r="13" spans="1:99" ht="20.100000000000001" hidden="1" customHeight="1">
      <c r="A13" s="183"/>
      <c r="B13" s="6"/>
      <c r="C13" s="175">
        <v>2</v>
      </c>
      <c r="D13" s="3" t="s">
        <v>2</v>
      </c>
      <c r="E13" s="184" t="str">
        <f>IF($I$5="","",$AP$9+K13*$I$5)</f>
        <v/>
      </c>
      <c r="F13" s="184"/>
      <c r="G13" s="184"/>
      <c r="H13" s="184"/>
      <c r="I13" s="175" t="s">
        <v>4</v>
      </c>
      <c r="K13" s="181">
        <v>560000</v>
      </c>
      <c r="L13" s="181"/>
      <c r="M13" s="181"/>
      <c r="N13" s="181"/>
      <c r="O13" s="175" t="s">
        <v>4</v>
      </c>
      <c r="R13" s="183"/>
      <c r="S13" s="6"/>
      <c r="T13" s="182" t="s">
        <v>132</v>
      </c>
      <c r="U13" s="182"/>
      <c r="V13" s="199">
        <v>2.2999999999999998</v>
      </c>
      <c r="W13" s="199"/>
      <c r="X13" s="199"/>
      <c r="Y13" s="199"/>
      <c r="Z13" s="175" t="s">
        <v>134</v>
      </c>
      <c r="AA13" s="175"/>
      <c r="AN13" s="183"/>
      <c r="AO13" s="175"/>
      <c r="AV13" s="183"/>
      <c r="AW13" s="175"/>
      <c r="AX13" s="182" t="s">
        <v>132</v>
      </c>
      <c r="AY13" s="182"/>
      <c r="AZ13" s="181">
        <v>170000</v>
      </c>
      <c r="BA13" s="181"/>
      <c r="BB13" s="181"/>
      <c r="BC13" s="181"/>
      <c r="BD13" s="175" t="s">
        <v>4</v>
      </c>
      <c r="BE13" s="175"/>
      <c r="BF13" s="175"/>
      <c r="BG13" s="175"/>
      <c r="BH13" s="175"/>
      <c r="BI13" s="183"/>
      <c r="BJ13" s="6"/>
      <c r="BK13" s="182" t="s">
        <v>132</v>
      </c>
      <c r="BL13" s="182"/>
      <c r="BM13" s="181">
        <v>15700</v>
      </c>
      <c r="BN13" s="181"/>
      <c r="BO13" s="181"/>
      <c r="BP13" s="181"/>
      <c r="BQ13" s="175" t="s">
        <v>4</v>
      </c>
      <c r="BR13" s="175"/>
      <c r="BS13" s="175"/>
      <c r="BT13" s="175"/>
      <c r="BU13" s="175"/>
      <c r="BV13" s="175"/>
      <c r="BW13" s="175"/>
    </row>
    <row r="14" spans="1:99" ht="6" hidden="1" customHeight="1">
      <c r="A14" s="6"/>
      <c r="B14" s="6"/>
      <c r="C14" s="175"/>
      <c r="E14" s="176"/>
      <c r="F14" s="176"/>
      <c r="G14" s="176"/>
      <c r="H14" s="176"/>
      <c r="I14" s="175"/>
      <c r="AV14" s="183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</row>
    <row r="15" spans="1:99" ht="20.100000000000001" hidden="1" customHeight="1">
      <c r="A15" s="183" t="s">
        <v>143</v>
      </c>
      <c r="B15" s="6"/>
      <c r="C15" s="175" t="s">
        <v>144</v>
      </c>
      <c r="D15" s="182" t="str">
        <f>IF(OR(L32="していない",T23=""),"なし",IF(AND(39&lt;T23+1,T23&lt;65),"あり","なし"))</f>
        <v>なし</v>
      </c>
      <c r="E15" s="182"/>
      <c r="F15" s="176"/>
      <c r="G15" s="175" t="s">
        <v>147</v>
      </c>
      <c r="H15" s="182" t="str">
        <f>IF(T50="","なし",IF(AND(39&lt;T50+1,T50&lt;65),"あり","なし"))</f>
        <v>なし</v>
      </c>
      <c r="I15" s="182"/>
      <c r="AV15" s="183"/>
      <c r="AX15" s="182" t="s">
        <v>160</v>
      </c>
      <c r="AY15" s="182"/>
      <c r="AZ15" s="184">
        <f>AZ9+AZ11</f>
        <v>920000</v>
      </c>
      <c r="BA15" s="184"/>
      <c r="BB15" s="184"/>
      <c r="BC15" s="184"/>
      <c r="BD15" s="175" t="s">
        <v>4</v>
      </c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</row>
    <row r="16" spans="1:99" ht="6" hidden="1" customHeight="1">
      <c r="A16" s="183"/>
      <c r="B16" s="6"/>
      <c r="C16" s="175"/>
      <c r="E16" s="176"/>
      <c r="F16" s="176"/>
      <c r="G16" s="175"/>
      <c r="I16" s="176"/>
      <c r="AV16" s="183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</row>
    <row r="17" spans="1:99" ht="20.100000000000001" hidden="1" customHeight="1">
      <c r="A17" s="183"/>
      <c r="B17" s="6"/>
      <c r="C17" s="175" t="s">
        <v>145</v>
      </c>
      <c r="D17" s="182" t="str">
        <f>IF(T32="","なし",IF(AND(39&lt;T32+1,T32&lt;65),"あり","なし"))</f>
        <v>なし</v>
      </c>
      <c r="E17" s="182"/>
      <c r="F17" s="176"/>
      <c r="G17" s="175" t="s">
        <v>148</v>
      </c>
      <c r="H17" s="182" t="str">
        <f>IF(T59="","なし",IF(AND(39&lt;T59+1,T59&lt;65),"あり","なし"))</f>
        <v>なし</v>
      </c>
      <c r="I17" s="182"/>
      <c r="AV17" s="183"/>
      <c r="AX17" s="182" t="s">
        <v>159</v>
      </c>
      <c r="AY17" s="182"/>
      <c r="AZ17" s="184">
        <f>AZ9+AZ11+AZ13</f>
        <v>1090000</v>
      </c>
      <c r="BA17" s="184"/>
      <c r="BB17" s="184"/>
      <c r="BC17" s="184"/>
      <c r="BD17" s="175" t="s">
        <v>4</v>
      </c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</row>
    <row r="18" spans="1:99" ht="6" hidden="1" customHeight="1">
      <c r="A18" s="183"/>
      <c r="B18" s="6"/>
      <c r="C18" s="175"/>
      <c r="E18" s="176"/>
      <c r="F18" s="176"/>
      <c r="G18" s="175"/>
      <c r="I18" s="176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</row>
    <row r="19" spans="1:99" ht="20.100000000000001" hidden="1" customHeight="1">
      <c r="A19" s="183"/>
      <c r="B19" s="6"/>
      <c r="C19" s="175" t="s">
        <v>146</v>
      </c>
      <c r="D19" s="182" t="str">
        <f>IF(T41="","なし",IF(AND(39&lt;T41+1,T41&lt;65),"あり","なし"))</f>
        <v>なし</v>
      </c>
      <c r="E19" s="182"/>
      <c r="F19" s="176"/>
      <c r="G19" s="175" t="s">
        <v>149</v>
      </c>
      <c r="H19" s="182" t="str">
        <f>IF(T68="","なし",IF(AND(39&lt;T68+1,T68&lt;65),"あり","なし"))</f>
        <v>なし</v>
      </c>
      <c r="I19" s="182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</row>
    <row r="20" spans="1:99" ht="6" customHeight="1">
      <c r="A20" s="6"/>
      <c r="B20" s="6"/>
      <c r="C20" s="175"/>
      <c r="E20" s="176"/>
      <c r="F20" s="176"/>
      <c r="G20" s="176"/>
      <c r="H20" s="176"/>
      <c r="I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</row>
    <row r="21" spans="1:99" ht="6" customHeight="1">
      <c r="A21" s="192" t="s">
        <v>5</v>
      </c>
      <c r="C21" s="8"/>
      <c r="D21" s="8"/>
      <c r="E21" s="8"/>
      <c r="F21" s="8"/>
      <c r="G21" s="8"/>
      <c r="H21" s="8"/>
      <c r="I21" s="8"/>
      <c r="J21" s="8"/>
      <c r="K21" s="9"/>
      <c r="L21" s="9"/>
      <c r="M21" s="9"/>
      <c r="N21" s="9"/>
      <c r="O21" s="9"/>
      <c r="P21" s="9"/>
      <c r="Q21" s="9"/>
      <c r="R21" s="192" t="s">
        <v>6</v>
      </c>
      <c r="T21" s="8"/>
      <c r="U21" s="8"/>
      <c r="V21" s="8"/>
      <c r="X21" s="183" t="s">
        <v>11</v>
      </c>
      <c r="Z21" s="8"/>
      <c r="AA21" s="8"/>
      <c r="AB21" s="8"/>
      <c r="AC21" s="8"/>
      <c r="AD21" s="8"/>
      <c r="AF21" s="183" t="s">
        <v>142</v>
      </c>
      <c r="AH21" s="8"/>
      <c r="AI21" s="8"/>
      <c r="AJ21" s="8"/>
      <c r="AK21" s="8"/>
      <c r="AL21" s="8"/>
      <c r="AN21" s="192" t="s">
        <v>9</v>
      </c>
      <c r="AP21" s="8"/>
      <c r="AQ21" s="8"/>
      <c r="AR21" s="8"/>
      <c r="AS21" s="8"/>
      <c r="AT21" s="8"/>
      <c r="AV21" s="183" t="s">
        <v>10</v>
      </c>
      <c r="AX21" s="8"/>
      <c r="AY21" s="8"/>
      <c r="AZ21" s="8"/>
      <c r="BA21" s="8"/>
      <c r="BB21" s="8"/>
      <c r="BI21" s="183" t="s">
        <v>24</v>
      </c>
      <c r="BK21" s="8"/>
      <c r="BL21" s="8"/>
      <c r="BM21" s="8"/>
      <c r="BN21" s="8"/>
      <c r="BO21" s="8"/>
      <c r="BQ21" s="183" t="s">
        <v>25</v>
      </c>
      <c r="BS21" s="8"/>
      <c r="BT21" s="8"/>
      <c r="BU21" s="8"/>
      <c r="BV21" s="8"/>
      <c r="BW21" s="8"/>
      <c r="BY21" s="183" t="s">
        <v>150</v>
      </c>
      <c r="CA21" s="8"/>
      <c r="CB21" s="8"/>
      <c r="CC21" s="8"/>
      <c r="CD21" s="8"/>
      <c r="CE21" s="8"/>
      <c r="CG21" s="192" t="s">
        <v>10</v>
      </c>
      <c r="CI21" s="8"/>
      <c r="CJ21" s="8"/>
      <c r="CK21" s="8"/>
      <c r="CL21" s="8"/>
      <c r="CM21" s="8"/>
      <c r="CO21" s="192" t="s">
        <v>12</v>
      </c>
      <c r="CQ21" s="8"/>
      <c r="CR21" s="8"/>
      <c r="CS21" s="8"/>
      <c r="CT21" s="8"/>
      <c r="CU21" s="8"/>
    </row>
    <row r="22" spans="1:99" ht="6" customHeight="1">
      <c r="A22" s="192"/>
      <c r="C22" s="10"/>
      <c r="D22" s="10"/>
      <c r="E22" s="10"/>
      <c r="F22" s="10"/>
      <c r="G22" s="10"/>
      <c r="H22" s="10"/>
      <c r="I22" s="10"/>
      <c r="J22" s="10"/>
      <c r="K22" s="9"/>
      <c r="L22" s="9"/>
      <c r="M22" s="9"/>
      <c r="N22" s="9"/>
      <c r="O22" s="9"/>
      <c r="P22" s="9"/>
      <c r="Q22" s="9"/>
      <c r="R22" s="192"/>
      <c r="T22" s="10"/>
      <c r="U22" s="10"/>
      <c r="V22" s="10"/>
      <c r="X22" s="183"/>
      <c r="Z22" s="10"/>
      <c r="AA22" s="10"/>
      <c r="AB22" s="10"/>
      <c r="AC22" s="10"/>
      <c r="AD22" s="10"/>
      <c r="AF22" s="183"/>
      <c r="AH22" s="10"/>
      <c r="AI22" s="10"/>
      <c r="AJ22" s="10"/>
      <c r="AK22" s="10"/>
      <c r="AL22" s="10"/>
      <c r="AN22" s="192"/>
      <c r="AP22" s="10"/>
      <c r="AQ22" s="10"/>
      <c r="AR22" s="10"/>
      <c r="AS22" s="10"/>
      <c r="AT22" s="10"/>
      <c r="AV22" s="183"/>
      <c r="AX22" s="10"/>
      <c r="AY22" s="10"/>
      <c r="AZ22" s="10"/>
      <c r="BA22" s="10"/>
      <c r="BB22" s="10"/>
      <c r="BI22" s="183"/>
      <c r="BK22" s="10"/>
      <c r="BL22" s="10"/>
      <c r="BM22" s="10"/>
      <c r="BN22" s="10"/>
      <c r="BO22" s="10"/>
      <c r="BQ22" s="183"/>
      <c r="BS22" s="10"/>
      <c r="BT22" s="10"/>
      <c r="BU22" s="10"/>
      <c r="BV22" s="10"/>
      <c r="BW22" s="10"/>
      <c r="BY22" s="183"/>
      <c r="CA22" s="10"/>
      <c r="CB22" s="10"/>
      <c r="CC22" s="10"/>
      <c r="CD22" s="10"/>
      <c r="CE22" s="10"/>
      <c r="CG22" s="192"/>
      <c r="CI22" s="10"/>
      <c r="CJ22" s="10"/>
      <c r="CK22" s="10"/>
      <c r="CL22" s="10"/>
      <c r="CM22" s="10"/>
      <c r="CO22" s="192"/>
      <c r="CQ22" s="10"/>
      <c r="CR22" s="10"/>
      <c r="CS22" s="10"/>
      <c r="CT22" s="10"/>
      <c r="CU22" s="10"/>
    </row>
    <row r="23" spans="1:99" ht="20.100000000000001" customHeight="1">
      <c r="A23" s="192"/>
      <c r="B23" s="6"/>
      <c r="C23" s="4" t="s">
        <v>13</v>
      </c>
      <c r="F23" s="193"/>
      <c r="G23" s="193"/>
      <c r="H23" s="193"/>
      <c r="I23" s="193"/>
      <c r="J23" s="175" t="s">
        <v>4</v>
      </c>
      <c r="K23" s="175"/>
      <c r="L23" s="4" t="s">
        <v>19</v>
      </c>
      <c r="M23" s="175"/>
      <c r="N23" s="175"/>
      <c r="O23" s="175"/>
      <c r="P23" s="175"/>
      <c r="Q23" s="175"/>
      <c r="R23" s="192"/>
      <c r="T23" s="196"/>
      <c r="U23" s="196"/>
      <c r="V23" s="175" t="s">
        <v>7</v>
      </c>
      <c r="W23" s="175"/>
      <c r="X23" s="183"/>
      <c r="Y23" s="175"/>
      <c r="Z23" s="175" t="s">
        <v>138</v>
      </c>
      <c r="AA23" s="189" t="str">
        <f>IF($L$32="","",IF($L$32="していない","",IF(AND($L$32="している",39&lt;$T$23+1,$T$23&lt;65),SUM($V$9:$Y$13),SUM($V$9:$Y$11))))</f>
        <v/>
      </c>
      <c r="AB23" s="189"/>
      <c r="AC23" s="189"/>
      <c r="AD23" s="175" t="s">
        <v>134</v>
      </c>
      <c r="AF23" s="183"/>
      <c r="AH23" s="188">
        <f>IF(AA23="",0,IF($L$32="している",MAX(ROUNDDOWN(($F$23-$AP$9)*AA23/100,-2),0,0)))</f>
        <v>0</v>
      </c>
      <c r="AI23" s="188"/>
      <c r="AJ23" s="188"/>
      <c r="AK23" s="188"/>
      <c r="AL23" s="175" t="s">
        <v>4</v>
      </c>
      <c r="AN23" s="192"/>
      <c r="AP23" s="191">
        <f>IF($L$32="",0,IF($L$32="している",MAX(SUM(AP25:AS29),0),0))</f>
        <v>0</v>
      </c>
      <c r="AQ23" s="191"/>
      <c r="AR23" s="191"/>
      <c r="AS23" s="191"/>
      <c r="AT23" s="175" t="s">
        <v>4</v>
      </c>
      <c r="AU23" s="175"/>
      <c r="AV23" s="183"/>
      <c r="AW23" s="175"/>
      <c r="AX23" s="184" t="str">
        <f>IF($L$32="","",IF($L$32="している",IF(AND(39&lt;$T$23+1,$T$23&lt;65),$BM$9+$BM$11+$BM$13,$BM$9+$BM$11),0))</f>
        <v/>
      </c>
      <c r="AY23" s="184"/>
      <c r="AZ23" s="184"/>
      <c r="BA23" s="184"/>
      <c r="BB23" s="175" t="s">
        <v>4</v>
      </c>
      <c r="BC23" s="175"/>
      <c r="BD23" s="83"/>
      <c r="BE23" s="175"/>
      <c r="BF23" s="194" t="str">
        <f>IF(F77="","",IF(F77&lt;=E9,0.7,IF(F77&lt;=E11,0.5,IF(F77&lt;=E13,0.2,0))))</f>
        <v/>
      </c>
      <c r="BG23" s="194"/>
      <c r="BH23" s="179"/>
      <c r="BI23" s="183"/>
      <c r="BJ23" s="179"/>
      <c r="BK23" s="184" t="str">
        <f>IF($L$32="","",IF(AND($T$23&lt;6,$L$32="している"),ROUNDDOWN(AX23*(1-$BF$23)*0.5,-2),IF(AND(6&lt;=$T$23+1,$T$23+1&lt;=18,$L$32="している"),0,IF($T$23+1&lt;19,0,0))))</f>
        <v/>
      </c>
      <c r="BL23" s="184"/>
      <c r="BM23" s="184"/>
      <c r="BN23" s="184"/>
      <c r="BO23" s="175" t="s">
        <v>4</v>
      </c>
      <c r="BP23" s="179"/>
      <c r="BQ23" s="183"/>
      <c r="BR23" s="179"/>
      <c r="BS23" s="184">
        <f>IF($L$32="",0,IF(AND($T$23&lt;6,$L$32="している"),0,IF(AND(6&lt;=$T$23+1,$T$23+1&lt;=18,$L$32="している"),ROUNDDOWN(AX23*(1-$BF$23)*0.8,-2),0)))</f>
        <v>0</v>
      </c>
      <c r="BT23" s="184"/>
      <c r="BU23" s="184"/>
      <c r="BV23" s="184"/>
      <c r="BW23" s="175" t="s">
        <v>4</v>
      </c>
      <c r="BY23" s="183"/>
      <c r="BZ23" s="179"/>
      <c r="CA23" s="184">
        <f>IF(BS23=0,0,AX23-BS23)</f>
        <v>0</v>
      </c>
      <c r="CB23" s="184"/>
      <c r="CC23" s="184"/>
      <c r="CD23" s="184"/>
      <c r="CE23" s="175" t="s">
        <v>4</v>
      </c>
      <c r="CG23" s="192"/>
      <c r="CI23" s="191">
        <f>IF($T$23="",0,IF($T$23&lt;6,BK23,IF(AND(6&lt;=$T$23+1,$T$23+1&lt;=18),BS23,ROUNDDOWN(AX23*(1-$BF$23),-2))))</f>
        <v>0</v>
      </c>
      <c r="CJ23" s="191"/>
      <c r="CK23" s="191"/>
      <c r="CL23" s="191"/>
      <c r="CM23" s="175" t="s">
        <v>4</v>
      </c>
      <c r="CO23" s="192"/>
      <c r="CQ23" s="191">
        <f>IF(CI23="","",AP23+CI23)</f>
        <v>0</v>
      </c>
      <c r="CR23" s="191"/>
      <c r="CS23" s="191"/>
      <c r="CT23" s="191"/>
      <c r="CU23" s="175" t="s">
        <v>4</v>
      </c>
    </row>
    <row r="24" spans="1:99" ht="6" hidden="1" customHeight="1">
      <c r="A24" s="192"/>
      <c r="B24" s="6"/>
      <c r="C24" s="4"/>
      <c r="J24" s="175"/>
      <c r="K24" s="175"/>
      <c r="L24" s="4"/>
      <c r="M24" s="175"/>
      <c r="N24" s="175"/>
      <c r="O24" s="175"/>
      <c r="P24" s="175"/>
      <c r="Q24" s="175"/>
      <c r="R24" s="192"/>
      <c r="T24" s="175"/>
      <c r="U24" s="175"/>
      <c r="V24" s="175"/>
      <c r="W24" s="175"/>
      <c r="X24" s="183"/>
      <c r="Y24" s="175"/>
      <c r="Z24" s="175"/>
      <c r="AA24" s="177"/>
      <c r="AB24" s="177"/>
      <c r="AC24" s="177"/>
      <c r="AD24" s="175"/>
      <c r="AF24" s="183"/>
      <c r="AH24" s="178"/>
      <c r="AI24" s="178"/>
      <c r="AJ24" s="178"/>
      <c r="AK24" s="178"/>
      <c r="AL24" s="175"/>
      <c r="AN24" s="192"/>
      <c r="AP24" s="178"/>
      <c r="AQ24" s="178"/>
      <c r="AR24" s="178"/>
      <c r="AS24" s="178"/>
      <c r="AT24" s="175"/>
      <c r="AU24" s="175"/>
      <c r="AV24" s="183"/>
      <c r="AW24" s="175"/>
      <c r="AX24" s="176"/>
      <c r="AY24" s="176"/>
      <c r="AZ24" s="176"/>
      <c r="BA24" s="176"/>
      <c r="BB24" s="175"/>
      <c r="BC24" s="175"/>
      <c r="BD24" s="179"/>
      <c r="BE24" s="175"/>
      <c r="BF24" s="179"/>
      <c r="BG24" s="179"/>
      <c r="BH24" s="179"/>
      <c r="BI24" s="183"/>
      <c r="BJ24" s="179"/>
      <c r="BK24" s="176"/>
      <c r="BL24" s="176"/>
      <c r="BM24" s="176"/>
      <c r="BN24" s="176"/>
      <c r="BO24" s="175"/>
      <c r="BP24" s="179"/>
      <c r="BQ24" s="183"/>
      <c r="BR24" s="179"/>
      <c r="BS24" s="176"/>
      <c r="BT24" s="176"/>
      <c r="BU24" s="176"/>
      <c r="BV24" s="176"/>
      <c r="BW24" s="175"/>
      <c r="BY24" s="183"/>
      <c r="BZ24" s="179"/>
      <c r="CA24" s="176"/>
      <c r="CB24" s="176"/>
      <c r="CC24" s="176"/>
      <c r="CD24" s="176"/>
      <c r="CE24" s="175"/>
      <c r="CG24" s="192"/>
      <c r="CI24" s="178"/>
      <c r="CJ24" s="178"/>
      <c r="CK24" s="178"/>
      <c r="CL24" s="178"/>
      <c r="CM24" s="175"/>
      <c r="CO24" s="192"/>
      <c r="CQ24" s="178"/>
      <c r="CR24" s="178"/>
      <c r="CS24" s="178"/>
      <c r="CT24" s="178"/>
      <c r="CU24" s="175"/>
    </row>
    <row r="25" spans="1:99" ht="20.100000000000001" hidden="1" customHeight="1">
      <c r="A25" s="192"/>
      <c r="B25" s="6"/>
      <c r="C25" s="4"/>
      <c r="J25" s="175"/>
      <c r="K25" s="175"/>
      <c r="L25" s="4"/>
      <c r="M25" s="175"/>
      <c r="N25" s="175"/>
      <c r="O25" s="175"/>
      <c r="P25" s="175"/>
      <c r="Q25" s="175"/>
      <c r="R25" s="192"/>
      <c r="T25" s="175"/>
      <c r="U25" s="175"/>
      <c r="V25" s="175"/>
      <c r="W25" s="175"/>
      <c r="X25" s="183"/>
      <c r="Y25" s="175"/>
      <c r="Z25" s="175" t="s">
        <v>139</v>
      </c>
      <c r="AA25" s="189" t="str">
        <f>IF($L$32="","",IF($L$32="していない","",IF($L$32="している",V9,0)))</f>
        <v/>
      </c>
      <c r="AB25" s="189"/>
      <c r="AC25" s="189"/>
      <c r="AD25" s="175" t="s">
        <v>134</v>
      </c>
      <c r="AF25" s="183"/>
      <c r="AH25" s="188">
        <f>IF(AA25="",0,IF($L$32="している",MAX(ROUNDDOWN(($F$23-$AP$9)*AA25/100,-2),0,0)))</f>
        <v>0</v>
      </c>
      <c r="AI25" s="188"/>
      <c r="AJ25" s="188"/>
      <c r="AK25" s="188"/>
      <c r="AL25" s="175" t="s">
        <v>4</v>
      </c>
      <c r="AN25" s="192"/>
      <c r="AP25" s="188">
        <f>IF($L$32="",0,IF(AND($L$32="している",AZ9&lt;=AH25),AZ9-CI25,IF(AND($L$32="している",AH25&lt;AZ9),MIN(AH25,AZ9-CI25),0)))</f>
        <v>0</v>
      </c>
      <c r="AQ25" s="188"/>
      <c r="AR25" s="188"/>
      <c r="AS25" s="188"/>
      <c r="AT25" s="175" t="s">
        <v>4</v>
      </c>
      <c r="AU25" s="175"/>
      <c r="AV25" s="183"/>
      <c r="AW25" s="175"/>
      <c r="AX25" s="184" t="str">
        <f>IF($L$32="","",IF(AND($L$32="している",$T$23&lt;&gt;""),BM9,0))</f>
        <v/>
      </c>
      <c r="AY25" s="184"/>
      <c r="AZ25" s="184"/>
      <c r="BA25" s="184"/>
      <c r="BB25" s="175" t="s">
        <v>4</v>
      </c>
      <c r="BC25" s="175"/>
      <c r="BD25" s="179"/>
      <c r="BE25" s="175"/>
      <c r="BF25" s="179"/>
      <c r="BG25" s="179"/>
      <c r="BH25" s="179"/>
      <c r="BI25" s="183"/>
      <c r="BJ25" s="179"/>
      <c r="BK25" s="184" t="str">
        <f>IF($L$32="","",IF(AND($T$23&lt;6,$L$32="している"),ROUNDDOWN(AX25*(1-$BF$23)*0.5,-2),IF(AND(6&lt;=$T$23+1,$T$23+1&lt;=18,$L$32="している"),0,IF($T$23+1&lt;19,0,0))))</f>
        <v/>
      </c>
      <c r="BL25" s="184"/>
      <c r="BM25" s="184"/>
      <c r="BN25" s="184"/>
      <c r="BO25" s="175" t="s">
        <v>4</v>
      </c>
      <c r="BP25" s="179"/>
      <c r="BQ25" s="183"/>
      <c r="BR25" s="179"/>
      <c r="BS25" s="184">
        <f>IF($L$32="",0,IF(AND($T$23&lt;6,$L$32="している"),0,IF(AND(6&lt;=$T$23+1,$T$23+1&lt;=18,$L$32="している"),ROUNDDOWN(AX25*(1-$BF$23)*0.8,-2),0)))</f>
        <v>0</v>
      </c>
      <c r="BT25" s="184"/>
      <c r="BU25" s="184"/>
      <c r="BV25" s="184"/>
      <c r="BW25" s="175" t="s">
        <v>4</v>
      </c>
      <c r="BY25" s="183"/>
      <c r="BZ25" s="179"/>
      <c r="CA25" s="184">
        <f>IF(BS25=0,0,AX25-BS25)</f>
        <v>0</v>
      </c>
      <c r="CB25" s="184"/>
      <c r="CC25" s="184"/>
      <c r="CD25" s="184"/>
      <c r="CE25" s="175" t="s">
        <v>4</v>
      </c>
      <c r="CG25" s="192"/>
      <c r="CI25" s="188">
        <f>IF($T$23="",0,IF($T$23&lt;6,BK25,IF(AND(6&lt;=$T$23+1,$T$23+1&lt;=18),BS25,ROUNDDOWN(AX25*(1-$BF$23),-2))))</f>
        <v>0</v>
      </c>
      <c r="CJ25" s="188"/>
      <c r="CK25" s="188"/>
      <c r="CL25" s="188"/>
      <c r="CM25" s="175" t="s">
        <v>4</v>
      </c>
      <c r="CO25" s="192"/>
      <c r="CQ25" s="188">
        <f>IF(CI25="","",AP25+CI25)</f>
        <v>0</v>
      </c>
      <c r="CR25" s="188"/>
      <c r="CS25" s="188"/>
      <c r="CT25" s="188"/>
      <c r="CU25" s="175" t="s">
        <v>4</v>
      </c>
    </row>
    <row r="26" spans="1:99" ht="6" hidden="1" customHeight="1">
      <c r="A26" s="192"/>
      <c r="B26" s="6"/>
      <c r="C26" s="4"/>
      <c r="J26" s="175"/>
      <c r="K26" s="175"/>
      <c r="L26" s="4"/>
      <c r="M26" s="175"/>
      <c r="N26" s="175"/>
      <c r="O26" s="175"/>
      <c r="P26" s="175"/>
      <c r="Q26" s="175"/>
      <c r="R26" s="192"/>
      <c r="T26" s="175"/>
      <c r="U26" s="175"/>
      <c r="V26" s="175"/>
      <c r="W26" s="175"/>
      <c r="X26" s="183"/>
      <c r="Y26" s="175"/>
      <c r="Z26" s="175"/>
      <c r="AA26" s="177"/>
      <c r="AB26" s="177"/>
      <c r="AC26" s="177"/>
      <c r="AD26" s="175"/>
      <c r="AF26" s="183"/>
      <c r="AH26" s="178"/>
      <c r="AI26" s="178"/>
      <c r="AJ26" s="178"/>
      <c r="AK26" s="178"/>
      <c r="AL26" s="175"/>
      <c r="AN26" s="192"/>
      <c r="AP26" s="178"/>
      <c r="AQ26" s="178"/>
      <c r="AR26" s="178"/>
      <c r="AS26" s="178"/>
      <c r="AT26" s="175"/>
      <c r="AU26" s="175"/>
      <c r="AV26" s="183"/>
      <c r="AW26" s="175"/>
      <c r="AX26" s="176"/>
      <c r="AY26" s="176"/>
      <c r="AZ26" s="176"/>
      <c r="BA26" s="176"/>
      <c r="BB26" s="175"/>
      <c r="BC26" s="175"/>
      <c r="BD26" s="179"/>
      <c r="BE26" s="175"/>
      <c r="BF26" s="179"/>
      <c r="BG26" s="179"/>
      <c r="BH26" s="179"/>
      <c r="BI26" s="183"/>
      <c r="BJ26" s="179"/>
      <c r="BK26" s="176"/>
      <c r="BL26" s="176"/>
      <c r="BM26" s="176"/>
      <c r="BN26" s="176"/>
      <c r="BO26" s="175"/>
      <c r="BP26" s="179"/>
      <c r="BQ26" s="183"/>
      <c r="BR26" s="179"/>
      <c r="BS26" s="176"/>
      <c r="BT26" s="176"/>
      <c r="BU26" s="176"/>
      <c r="BV26" s="176"/>
      <c r="BW26" s="175"/>
      <c r="BY26" s="183"/>
      <c r="BZ26" s="179"/>
      <c r="CA26" s="176"/>
      <c r="CB26" s="176"/>
      <c r="CC26" s="176"/>
      <c r="CD26" s="176"/>
      <c r="CE26" s="175"/>
      <c r="CG26" s="192"/>
      <c r="CI26" s="178"/>
      <c r="CJ26" s="178"/>
      <c r="CK26" s="178"/>
      <c r="CL26" s="178"/>
      <c r="CM26" s="175"/>
      <c r="CO26" s="192"/>
      <c r="CQ26" s="178"/>
      <c r="CR26" s="178"/>
      <c r="CS26" s="178"/>
      <c r="CT26" s="178"/>
      <c r="CU26" s="175"/>
    </row>
    <row r="27" spans="1:99" ht="20.100000000000001" hidden="1" customHeight="1">
      <c r="A27" s="192"/>
      <c r="B27" s="6"/>
      <c r="C27" s="4"/>
      <c r="J27" s="175"/>
      <c r="K27" s="175"/>
      <c r="L27" s="4"/>
      <c r="M27" s="175"/>
      <c r="N27" s="175"/>
      <c r="O27" s="175"/>
      <c r="P27" s="175"/>
      <c r="Q27" s="175"/>
      <c r="R27" s="192"/>
      <c r="T27" s="175"/>
      <c r="U27" s="175"/>
      <c r="V27" s="175"/>
      <c r="W27" s="175"/>
      <c r="X27" s="183"/>
      <c r="Y27" s="175"/>
      <c r="Z27" s="175" t="s">
        <v>140</v>
      </c>
      <c r="AA27" s="189" t="str">
        <f>IF($L$32="","",IF($L$32="していない","",IF($L$32="している",V11,0)))</f>
        <v/>
      </c>
      <c r="AB27" s="189"/>
      <c r="AC27" s="189"/>
      <c r="AD27" s="175" t="s">
        <v>134</v>
      </c>
      <c r="AF27" s="183"/>
      <c r="AH27" s="188">
        <f>IF(AA27="",0,IF($L$32="している",MAX(ROUNDDOWN(($F$23-$AP$9)*AA27/100,-2),0,0)))</f>
        <v>0</v>
      </c>
      <c r="AI27" s="188"/>
      <c r="AJ27" s="188"/>
      <c r="AK27" s="188"/>
      <c r="AL27" s="175" t="s">
        <v>4</v>
      </c>
      <c r="AN27" s="192"/>
      <c r="AP27" s="188">
        <f>IF($L$32="",0,IF(AND($L$32="している",AZ11&lt;=AH27),AZ11-CI27,IF(AND($L$32="している",AH27&lt;AZ11),MIN(AH27,AZ11-CI27),0)))</f>
        <v>0</v>
      </c>
      <c r="AQ27" s="188"/>
      <c r="AR27" s="188"/>
      <c r="AS27" s="188"/>
      <c r="AT27" s="175" t="s">
        <v>4</v>
      </c>
      <c r="AU27" s="175"/>
      <c r="AV27" s="183"/>
      <c r="AW27" s="175"/>
      <c r="AX27" s="184" t="str">
        <f>IF($L$32="","",IF(AND($L$32="している",$T$23&lt;&gt;""),BM11,0))</f>
        <v/>
      </c>
      <c r="AY27" s="184"/>
      <c r="AZ27" s="184"/>
      <c r="BA27" s="184"/>
      <c r="BB27" s="175" t="s">
        <v>4</v>
      </c>
      <c r="BC27" s="175"/>
      <c r="BD27" s="179"/>
      <c r="BE27" s="175"/>
      <c r="BF27" s="179"/>
      <c r="BG27" s="179"/>
      <c r="BH27" s="179"/>
      <c r="BI27" s="183"/>
      <c r="BJ27" s="179"/>
      <c r="BK27" s="184" t="str">
        <f>IF($L$32="","",IF(AND($T$23&lt;6,$L$32="している"),ROUNDDOWN(AX27*(1-$BF$23)*0.5,-2),IF(AND(6&lt;=$T$23+1,$T$23+1&lt;=18,$L$32="している"),0,IF($T$23+1&lt;19,0,0))))</f>
        <v/>
      </c>
      <c r="BL27" s="184"/>
      <c r="BM27" s="184"/>
      <c r="BN27" s="184"/>
      <c r="BO27" s="175" t="s">
        <v>4</v>
      </c>
      <c r="BP27" s="179"/>
      <c r="BQ27" s="183"/>
      <c r="BR27" s="179"/>
      <c r="BS27" s="184">
        <f>IF($L$32="",0,IF(AND($T$23&lt;6,$L$32="している"),0,IF(AND(6&lt;=$T$23+1,$T$23+1&lt;=18,$L$32="している"),ROUNDDOWN(AX27*(1-$BF$23)*0.8,-2),0)))</f>
        <v>0</v>
      </c>
      <c r="BT27" s="184"/>
      <c r="BU27" s="184"/>
      <c r="BV27" s="184"/>
      <c r="BW27" s="175" t="s">
        <v>4</v>
      </c>
      <c r="BY27" s="183"/>
      <c r="BZ27" s="179"/>
      <c r="CA27" s="184">
        <f>IF(BS27=0,0,AX27-BS27)</f>
        <v>0</v>
      </c>
      <c r="CB27" s="184"/>
      <c r="CC27" s="184"/>
      <c r="CD27" s="184"/>
      <c r="CE27" s="175" t="s">
        <v>4</v>
      </c>
      <c r="CG27" s="192"/>
      <c r="CI27" s="188">
        <f>IF($T$23="",0,IF($T$23&lt;6,BK27,IF(AND(6&lt;=$T$23+1,$T$23+1&lt;=18),BS27,ROUNDDOWN(AX27*(1-$BF$23),-2))))</f>
        <v>0</v>
      </c>
      <c r="CJ27" s="188"/>
      <c r="CK27" s="188"/>
      <c r="CL27" s="188"/>
      <c r="CM27" s="175" t="s">
        <v>4</v>
      </c>
      <c r="CO27" s="192"/>
      <c r="CQ27" s="188">
        <f>IF(CI27="","",AP27+CI27)</f>
        <v>0</v>
      </c>
      <c r="CR27" s="188"/>
      <c r="CS27" s="188"/>
      <c r="CT27" s="188"/>
      <c r="CU27" s="175" t="s">
        <v>4</v>
      </c>
    </row>
    <row r="28" spans="1:99" ht="6" hidden="1" customHeight="1">
      <c r="A28" s="192"/>
      <c r="B28" s="6"/>
      <c r="C28" s="4"/>
      <c r="J28" s="175"/>
      <c r="K28" s="175"/>
      <c r="L28" s="4"/>
      <c r="M28" s="175"/>
      <c r="N28" s="175"/>
      <c r="O28" s="175"/>
      <c r="P28" s="175"/>
      <c r="Q28" s="175"/>
      <c r="R28" s="192"/>
      <c r="T28" s="175"/>
      <c r="U28" s="175"/>
      <c r="V28" s="175"/>
      <c r="W28" s="175"/>
      <c r="X28" s="183"/>
      <c r="Y28" s="175"/>
      <c r="Z28" s="175"/>
      <c r="AA28" s="177"/>
      <c r="AB28" s="177"/>
      <c r="AC28" s="177"/>
      <c r="AD28" s="175"/>
      <c r="AF28" s="183"/>
      <c r="AH28" s="178"/>
      <c r="AI28" s="178"/>
      <c r="AJ28" s="178"/>
      <c r="AK28" s="178"/>
      <c r="AL28" s="175"/>
      <c r="AN28" s="192"/>
      <c r="AP28" s="178"/>
      <c r="AQ28" s="178"/>
      <c r="AR28" s="178"/>
      <c r="AS28" s="178"/>
      <c r="AT28" s="175"/>
      <c r="AU28" s="175"/>
      <c r="AV28" s="183"/>
      <c r="AW28" s="175"/>
      <c r="AX28" s="176"/>
      <c r="AY28" s="176"/>
      <c r="AZ28" s="176"/>
      <c r="BA28" s="176"/>
      <c r="BB28" s="175"/>
      <c r="BC28" s="175"/>
      <c r="BD28" s="179"/>
      <c r="BE28" s="175"/>
      <c r="BF28" s="179"/>
      <c r="BG28" s="179"/>
      <c r="BH28" s="179"/>
      <c r="BI28" s="183"/>
      <c r="BJ28" s="179"/>
      <c r="BK28" s="176"/>
      <c r="BL28" s="176"/>
      <c r="BM28" s="176"/>
      <c r="BN28" s="176"/>
      <c r="BO28" s="175"/>
      <c r="BP28" s="179"/>
      <c r="BQ28" s="183"/>
      <c r="BR28" s="179"/>
      <c r="BS28" s="176"/>
      <c r="BT28" s="176"/>
      <c r="BU28" s="176"/>
      <c r="BV28" s="176"/>
      <c r="BW28" s="175"/>
      <c r="BY28" s="183"/>
      <c r="BZ28" s="179"/>
      <c r="CA28" s="176"/>
      <c r="CB28" s="176"/>
      <c r="CC28" s="176"/>
      <c r="CD28" s="176"/>
      <c r="CE28" s="175"/>
      <c r="CG28" s="192"/>
      <c r="CI28" s="178"/>
      <c r="CJ28" s="178"/>
      <c r="CK28" s="178"/>
      <c r="CL28" s="178"/>
      <c r="CM28" s="175"/>
      <c r="CO28" s="192"/>
      <c r="CQ28" s="178"/>
      <c r="CR28" s="178"/>
      <c r="CS28" s="178"/>
      <c r="CT28" s="178"/>
      <c r="CU28" s="175"/>
    </row>
    <row r="29" spans="1:99" ht="20.100000000000001" hidden="1" customHeight="1">
      <c r="A29" s="192"/>
      <c r="B29" s="6"/>
      <c r="C29" s="4"/>
      <c r="J29" s="175"/>
      <c r="K29" s="175"/>
      <c r="L29" s="4"/>
      <c r="M29" s="175"/>
      <c r="N29" s="175"/>
      <c r="O29" s="175"/>
      <c r="P29" s="175"/>
      <c r="Q29" s="175"/>
      <c r="R29" s="192"/>
      <c r="T29" s="175"/>
      <c r="U29" s="175"/>
      <c r="V29" s="175"/>
      <c r="W29" s="175"/>
      <c r="X29" s="183"/>
      <c r="Y29" s="175"/>
      <c r="Z29" s="175" t="s">
        <v>141</v>
      </c>
      <c r="AA29" s="189" t="str">
        <f>IF($L$32="","",IF($L$32="していない","",IF(AND(39&lt;$T$23+1,$T$23&lt;65),V13,"")))</f>
        <v/>
      </c>
      <c r="AB29" s="189"/>
      <c r="AC29" s="189"/>
      <c r="AD29" s="175" t="s">
        <v>134</v>
      </c>
      <c r="AF29" s="183"/>
      <c r="AH29" s="188">
        <f>IF($AA$29="",0,IF($L$32="している",MAX(ROUNDDOWN(($F$23-$AP$9)*AA29/100,-2),0,0)))</f>
        <v>0</v>
      </c>
      <c r="AI29" s="188"/>
      <c r="AJ29" s="188"/>
      <c r="AK29" s="188"/>
      <c r="AL29" s="175" t="s">
        <v>4</v>
      </c>
      <c r="AN29" s="192"/>
      <c r="AP29" s="188">
        <f>IF($L$32="",0,IF(AND($L$32="している",AZ13&lt;=AH29),AZ13-CI29,IF(AND($L$32="している",AH29&lt;AZ13),MIN(AH29,AZ13-CI29),0)))</f>
        <v>0</v>
      </c>
      <c r="AQ29" s="188"/>
      <c r="AR29" s="188"/>
      <c r="AS29" s="188"/>
      <c r="AT29" s="175" t="s">
        <v>4</v>
      </c>
      <c r="AU29" s="175"/>
      <c r="AV29" s="183"/>
      <c r="AW29" s="175"/>
      <c r="AX29" s="184" t="str">
        <f>IF($L$32="","",IF(AND($L$32="している",39&lt;$T$23+1,$T$23&lt;65),BM13,0))</f>
        <v/>
      </c>
      <c r="AY29" s="184"/>
      <c r="AZ29" s="184"/>
      <c r="BA29" s="184"/>
      <c r="BB29" s="175" t="s">
        <v>4</v>
      </c>
      <c r="BC29" s="175"/>
      <c r="BD29" s="179"/>
      <c r="BE29" s="175"/>
      <c r="BF29" s="179"/>
      <c r="BG29" s="179"/>
      <c r="BH29" s="179"/>
      <c r="BI29" s="183"/>
      <c r="BJ29" s="179"/>
      <c r="BK29" s="184" t="str">
        <f>IF($L$32="","",IF(AND($T$23&lt;6,$L$32="している"),ROUNDDOWN(AX29*(1-$BF$23)*0.5,-2),IF(AND(6&lt;=$T$23+1,$T$23+1&lt;=18,$L$32="している"),0,IF($T$23+1&lt;19,0,0))))</f>
        <v/>
      </c>
      <c r="BL29" s="184"/>
      <c r="BM29" s="184"/>
      <c r="BN29" s="184"/>
      <c r="BO29" s="175" t="s">
        <v>4</v>
      </c>
      <c r="BP29" s="179"/>
      <c r="BQ29" s="183"/>
      <c r="BR29" s="179"/>
      <c r="BS29" s="184">
        <f>IF($L$32="",0,IF(AND($T$23&lt;6,$L$32="している"),0,IF(AND(6&lt;=$T$23+1,$T$23+1&lt;=18,$L$32="している"),ROUNDDOWN(AX29*(1-$BF$23)*0.8,-2),0)))</f>
        <v>0</v>
      </c>
      <c r="BT29" s="184"/>
      <c r="BU29" s="184"/>
      <c r="BV29" s="184"/>
      <c r="BW29" s="175" t="s">
        <v>4</v>
      </c>
      <c r="BY29" s="183"/>
      <c r="BZ29" s="179"/>
      <c r="CA29" s="184">
        <f>IF(BS29=0,0,AX29-BS29)</f>
        <v>0</v>
      </c>
      <c r="CB29" s="184"/>
      <c r="CC29" s="184"/>
      <c r="CD29" s="184"/>
      <c r="CE29" s="175" t="s">
        <v>4</v>
      </c>
      <c r="CG29" s="192"/>
      <c r="CI29" s="188">
        <f>IF($T$23="",0,IF($T$23&lt;6,BK29,IF(AND(6&lt;=$T$23+1,$T$23+1&lt;=18),BS29,ROUNDDOWN(AX29*(1-$BF$23),-2))))</f>
        <v>0</v>
      </c>
      <c r="CJ29" s="188"/>
      <c r="CK29" s="188"/>
      <c r="CL29" s="188"/>
      <c r="CM29" s="175" t="s">
        <v>4</v>
      </c>
      <c r="CO29" s="192"/>
      <c r="CQ29" s="188">
        <f>IF(CI29="","",AP29+CI29)</f>
        <v>0</v>
      </c>
      <c r="CR29" s="188"/>
      <c r="CS29" s="188"/>
      <c r="CT29" s="188"/>
      <c r="CU29" s="175" t="s">
        <v>4</v>
      </c>
    </row>
    <row r="30" spans="1:99" ht="6" customHeight="1">
      <c r="A30" s="192"/>
      <c r="B30" s="6"/>
      <c r="C30" s="8"/>
      <c r="D30" s="8"/>
      <c r="E30" s="8"/>
      <c r="F30" s="8"/>
      <c r="G30" s="8"/>
      <c r="H30" s="8"/>
      <c r="I30" s="8"/>
      <c r="J30" s="8"/>
      <c r="K30" s="9"/>
      <c r="L30" s="9"/>
      <c r="M30" s="9"/>
      <c r="N30" s="9"/>
      <c r="O30" s="9"/>
      <c r="P30" s="9"/>
      <c r="Q30" s="9"/>
      <c r="R30" s="192"/>
      <c r="T30" s="8"/>
      <c r="U30" s="8"/>
      <c r="V30" s="8"/>
      <c r="X30" s="183"/>
      <c r="Z30" s="8"/>
      <c r="AA30" s="8"/>
      <c r="AB30" s="8"/>
      <c r="AC30" s="8"/>
      <c r="AD30" s="8"/>
      <c r="AF30" s="183"/>
      <c r="AH30" s="11"/>
      <c r="AI30" s="11"/>
      <c r="AJ30" s="11"/>
      <c r="AK30" s="11"/>
      <c r="AL30" s="8"/>
      <c r="AN30" s="192"/>
      <c r="AP30" s="11"/>
      <c r="AQ30" s="11"/>
      <c r="AR30" s="11"/>
      <c r="AS30" s="11"/>
      <c r="AT30" s="8"/>
      <c r="AV30" s="183"/>
      <c r="AX30" s="8"/>
      <c r="AY30" s="8"/>
      <c r="AZ30" s="8"/>
      <c r="BA30" s="8"/>
      <c r="BB30" s="8"/>
      <c r="BD30" s="12"/>
      <c r="BI30" s="183"/>
      <c r="BK30" s="8"/>
      <c r="BL30" s="8"/>
      <c r="BM30" s="8"/>
      <c r="BN30" s="8"/>
      <c r="BO30" s="8"/>
      <c r="BQ30" s="183"/>
      <c r="BS30" s="8"/>
      <c r="BT30" s="8"/>
      <c r="BU30" s="8"/>
      <c r="BV30" s="8"/>
      <c r="BW30" s="8"/>
      <c r="BY30" s="183"/>
      <c r="CA30" s="8"/>
      <c r="CB30" s="8"/>
      <c r="CC30" s="8"/>
      <c r="CD30" s="8"/>
      <c r="CE30" s="8"/>
      <c r="CG30" s="192"/>
      <c r="CI30" s="11"/>
      <c r="CJ30" s="11"/>
      <c r="CK30" s="11"/>
      <c r="CL30" s="11"/>
      <c r="CM30" s="8"/>
      <c r="CO30" s="192"/>
      <c r="CQ30" s="11"/>
      <c r="CR30" s="11"/>
      <c r="CS30" s="11"/>
      <c r="CT30" s="11"/>
      <c r="CU30" s="8"/>
    </row>
    <row r="31" spans="1:99" ht="6" customHeight="1">
      <c r="A31" s="192"/>
      <c r="B31" s="6"/>
      <c r="C31" s="10"/>
      <c r="D31" s="10"/>
      <c r="E31" s="10"/>
      <c r="F31" s="10"/>
      <c r="G31" s="10"/>
      <c r="H31" s="10"/>
      <c r="I31" s="10"/>
      <c r="J31" s="10"/>
      <c r="K31" s="9"/>
      <c r="L31" s="9"/>
      <c r="M31" s="9"/>
      <c r="N31" s="9"/>
      <c r="O31" s="9"/>
      <c r="P31" s="9"/>
      <c r="Q31" s="9"/>
      <c r="R31" s="192"/>
      <c r="T31" s="10"/>
      <c r="U31" s="10"/>
      <c r="V31" s="10"/>
      <c r="X31" s="183"/>
      <c r="Z31" s="10"/>
      <c r="AA31" s="10"/>
      <c r="AB31" s="10"/>
      <c r="AC31" s="10"/>
      <c r="AD31" s="10"/>
      <c r="AF31" s="183"/>
      <c r="AH31" s="13"/>
      <c r="AI31" s="13"/>
      <c r="AJ31" s="13"/>
      <c r="AK31" s="13"/>
      <c r="AL31" s="10"/>
      <c r="AN31" s="192"/>
      <c r="AP31" s="13"/>
      <c r="AQ31" s="13"/>
      <c r="AR31" s="13"/>
      <c r="AS31" s="13"/>
      <c r="AT31" s="10"/>
      <c r="AV31" s="183"/>
      <c r="AX31" s="10"/>
      <c r="AY31" s="10"/>
      <c r="AZ31" s="10"/>
      <c r="BA31" s="10"/>
      <c r="BB31" s="10"/>
      <c r="BD31" s="12"/>
      <c r="BI31" s="183"/>
      <c r="BK31" s="10"/>
      <c r="BL31" s="10"/>
      <c r="BM31" s="10"/>
      <c r="BN31" s="10"/>
      <c r="BO31" s="10"/>
      <c r="BQ31" s="183"/>
      <c r="BS31" s="10"/>
      <c r="BT31" s="10"/>
      <c r="BU31" s="10"/>
      <c r="BV31" s="10"/>
      <c r="BW31" s="10"/>
      <c r="BY31" s="183"/>
      <c r="CA31" s="10"/>
      <c r="CB31" s="10"/>
      <c r="CC31" s="10"/>
      <c r="CD31" s="10"/>
      <c r="CE31" s="10"/>
      <c r="CG31" s="192"/>
      <c r="CI31" s="13"/>
      <c r="CJ31" s="13"/>
      <c r="CK31" s="13"/>
      <c r="CL31" s="13"/>
      <c r="CM31" s="10"/>
      <c r="CO31" s="192"/>
      <c r="CQ31" s="13"/>
      <c r="CR31" s="13"/>
      <c r="CS31" s="13"/>
      <c r="CT31" s="13"/>
      <c r="CU31" s="10"/>
    </row>
    <row r="32" spans="1:99" ht="20.100000000000001" customHeight="1">
      <c r="A32" s="192"/>
      <c r="B32" s="6"/>
      <c r="C32" s="4" t="s">
        <v>14</v>
      </c>
      <c r="F32" s="193"/>
      <c r="G32" s="193"/>
      <c r="H32" s="193"/>
      <c r="I32" s="193"/>
      <c r="J32" s="175" t="s">
        <v>4</v>
      </c>
      <c r="K32" s="175"/>
      <c r="L32" s="195"/>
      <c r="M32" s="195"/>
      <c r="N32" s="195"/>
      <c r="O32" s="195"/>
      <c r="P32" s="175"/>
      <c r="Q32" s="175"/>
      <c r="R32" s="192"/>
      <c r="T32" s="196"/>
      <c r="U32" s="196"/>
      <c r="V32" s="175" t="s">
        <v>7</v>
      </c>
      <c r="W32" s="175"/>
      <c r="X32" s="183"/>
      <c r="Y32" s="175"/>
      <c r="Z32" s="175" t="s">
        <v>138</v>
      </c>
      <c r="AA32" s="189" t="str">
        <f>IF(T32="","",IF(AND(39&lt;T32+1,T32&lt;65),SUM($V$9:$Y$13),SUM($V$9:$Y$11)))</f>
        <v/>
      </c>
      <c r="AB32" s="189"/>
      <c r="AC32" s="189"/>
      <c r="AD32" s="175" t="s">
        <v>134</v>
      </c>
      <c r="AF32" s="183"/>
      <c r="AH32" s="188">
        <f>IF(AA32="",0,MAX(ROUNDDOWN((F32-$AP$9)*AA32/100,-2),0,0))</f>
        <v>0</v>
      </c>
      <c r="AI32" s="188"/>
      <c r="AJ32" s="188"/>
      <c r="AK32" s="188"/>
      <c r="AL32" s="175" t="s">
        <v>4</v>
      </c>
      <c r="AN32" s="192"/>
      <c r="AP32" s="191">
        <f>IF(T32="",0,MAX(SUM(AP34:AS38,0)))</f>
        <v>0</v>
      </c>
      <c r="AQ32" s="191"/>
      <c r="AR32" s="191"/>
      <c r="AS32" s="191"/>
      <c r="AT32" s="175" t="s">
        <v>4</v>
      </c>
      <c r="AU32" s="175"/>
      <c r="AV32" s="183"/>
      <c r="AW32" s="175"/>
      <c r="AX32" s="184" t="str">
        <f>IF(T32="","",IF(AND(39&lt;T32+1,T32&lt;65),$BM$9+$BM$11+$BM$13,$BM$9+$BM$11))</f>
        <v/>
      </c>
      <c r="AY32" s="184"/>
      <c r="AZ32" s="184"/>
      <c r="BA32" s="184"/>
      <c r="BB32" s="175" t="s">
        <v>4</v>
      </c>
      <c r="BC32" s="175"/>
      <c r="BD32" s="12"/>
      <c r="BE32" s="175"/>
      <c r="BF32" s="12"/>
      <c r="BG32" s="12"/>
      <c r="BH32" s="12"/>
      <c r="BI32" s="183"/>
      <c r="BJ32" s="12"/>
      <c r="BK32" s="184" t="str">
        <f>IF(T32="","",IF(T32&lt;6,ROUNDDOWN(AX32*(1-$BF$23)*0.5,-2),IF(AND(6&lt;=T32+1,T32+1&lt;=18),0,0)))</f>
        <v/>
      </c>
      <c r="BL32" s="184"/>
      <c r="BM32" s="184"/>
      <c r="BN32" s="184"/>
      <c r="BO32" s="175" t="s">
        <v>4</v>
      </c>
      <c r="BP32" s="12"/>
      <c r="BQ32" s="183"/>
      <c r="BR32" s="12"/>
      <c r="BS32" s="184">
        <f>IF(T32="",0,IF(T32&lt;6,0,IF(AND(5&lt;T32+1,T32+1&lt;=18),ROUNDDOWN(AX32*(1-$BF$23)*0.8,-2),0)))</f>
        <v>0</v>
      </c>
      <c r="BT32" s="184"/>
      <c r="BU32" s="184"/>
      <c r="BV32" s="184"/>
      <c r="BW32" s="175" t="s">
        <v>4</v>
      </c>
      <c r="BY32" s="183"/>
      <c r="BZ32" s="12"/>
      <c r="CA32" s="184">
        <f>IF(BS32=0,0,AX32-BS32)</f>
        <v>0</v>
      </c>
      <c r="CB32" s="184"/>
      <c r="CC32" s="184"/>
      <c r="CD32" s="184"/>
      <c r="CE32" s="175" t="s">
        <v>4</v>
      </c>
      <c r="CG32" s="192"/>
      <c r="CI32" s="191">
        <f>IF(T32="",0,IF(T32&lt;6,BK32,IF(AND(6&lt;=T32+1,T32+1&lt;=18),BS32,ROUNDDOWN(AX32*(1-$BF$23),-2))))</f>
        <v>0</v>
      </c>
      <c r="CJ32" s="191"/>
      <c r="CK32" s="191"/>
      <c r="CL32" s="191"/>
      <c r="CM32" s="175" t="s">
        <v>4</v>
      </c>
      <c r="CO32" s="192"/>
      <c r="CQ32" s="191">
        <f>IF(CI32="","",AP32+CI32)</f>
        <v>0</v>
      </c>
      <c r="CR32" s="191"/>
      <c r="CS32" s="191"/>
      <c r="CT32" s="191"/>
      <c r="CU32" s="175" t="s">
        <v>4</v>
      </c>
    </row>
    <row r="33" spans="1:99" ht="6" hidden="1" customHeight="1">
      <c r="A33" s="192"/>
      <c r="B33" s="6"/>
      <c r="C33" s="4"/>
      <c r="F33" s="176"/>
      <c r="G33" s="176"/>
      <c r="H33" s="176"/>
      <c r="I33" s="176"/>
      <c r="J33" s="175"/>
      <c r="K33" s="175"/>
      <c r="L33" s="175"/>
      <c r="M33" s="175"/>
      <c r="N33" s="175"/>
      <c r="O33" s="175"/>
      <c r="P33" s="175"/>
      <c r="Q33" s="175"/>
      <c r="R33" s="192"/>
      <c r="T33" s="82"/>
      <c r="U33" s="82"/>
      <c r="V33" s="175"/>
      <c r="W33" s="175"/>
      <c r="X33" s="183"/>
      <c r="Y33" s="175"/>
      <c r="Z33" s="175"/>
      <c r="AA33" s="177"/>
      <c r="AB33" s="177"/>
      <c r="AC33" s="177"/>
      <c r="AD33" s="175"/>
      <c r="AF33" s="183"/>
      <c r="AH33" s="178"/>
      <c r="AI33" s="178"/>
      <c r="AJ33" s="178"/>
      <c r="AK33" s="178"/>
      <c r="AL33" s="175"/>
      <c r="AN33" s="192"/>
      <c r="AP33" s="178"/>
      <c r="AQ33" s="178"/>
      <c r="AR33" s="178"/>
      <c r="AS33" s="178"/>
      <c r="AT33" s="175"/>
      <c r="AU33" s="175"/>
      <c r="AV33" s="183"/>
      <c r="AW33" s="175"/>
      <c r="AX33" s="176"/>
      <c r="AY33" s="176"/>
      <c r="AZ33" s="176"/>
      <c r="BA33" s="176"/>
      <c r="BB33" s="175"/>
      <c r="BC33" s="175"/>
      <c r="BD33" s="12"/>
      <c r="BE33" s="175"/>
      <c r="BF33" s="12"/>
      <c r="BG33" s="12"/>
      <c r="BH33" s="12"/>
      <c r="BI33" s="183"/>
      <c r="BJ33" s="12"/>
      <c r="BK33" s="176"/>
      <c r="BL33" s="176"/>
      <c r="BM33" s="176"/>
      <c r="BN33" s="176"/>
      <c r="BO33" s="175"/>
      <c r="BP33" s="12"/>
      <c r="BQ33" s="183"/>
      <c r="BR33" s="12"/>
      <c r="BS33" s="176"/>
      <c r="BT33" s="176"/>
      <c r="BU33" s="176"/>
      <c r="BV33" s="176"/>
      <c r="BW33" s="175"/>
      <c r="BY33" s="183"/>
      <c r="BZ33" s="12"/>
      <c r="CA33" s="176"/>
      <c r="CB33" s="176"/>
      <c r="CC33" s="176"/>
      <c r="CD33" s="176"/>
      <c r="CE33" s="175"/>
      <c r="CG33" s="192"/>
      <c r="CI33" s="178"/>
      <c r="CJ33" s="178"/>
      <c r="CK33" s="178"/>
      <c r="CL33" s="178"/>
      <c r="CM33" s="175"/>
      <c r="CO33" s="192"/>
      <c r="CQ33" s="178"/>
      <c r="CR33" s="178"/>
      <c r="CS33" s="178"/>
      <c r="CT33" s="178"/>
      <c r="CU33" s="175"/>
    </row>
    <row r="34" spans="1:99" ht="20.100000000000001" hidden="1" customHeight="1">
      <c r="A34" s="192"/>
      <c r="B34" s="6"/>
      <c r="C34" s="4"/>
      <c r="F34" s="176"/>
      <c r="G34" s="176"/>
      <c r="H34" s="176"/>
      <c r="I34" s="176"/>
      <c r="J34" s="175"/>
      <c r="K34" s="175"/>
      <c r="L34" s="175"/>
      <c r="M34" s="175"/>
      <c r="N34" s="175"/>
      <c r="O34" s="175"/>
      <c r="P34" s="175"/>
      <c r="Q34" s="175"/>
      <c r="R34" s="192"/>
      <c r="T34" s="82"/>
      <c r="U34" s="82"/>
      <c r="V34" s="175"/>
      <c r="W34" s="175"/>
      <c r="X34" s="183"/>
      <c r="Y34" s="175"/>
      <c r="Z34" s="175" t="s">
        <v>139</v>
      </c>
      <c r="AA34" s="189" t="str">
        <f>IF(T32="","",$V$9)</f>
        <v/>
      </c>
      <c r="AB34" s="189"/>
      <c r="AC34" s="189"/>
      <c r="AD34" s="175" t="s">
        <v>134</v>
      </c>
      <c r="AF34" s="183"/>
      <c r="AH34" s="188">
        <f>IF(AA34="",0,MAX(ROUNDDOWN((F32-$AP$9)*AA34/100,-2),0,0))</f>
        <v>0</v>
      </c>
      <c r="AI34" s="188"/>
      <c r="AJ34" s="188"/>
      <c r="AK34" s="188"/>
      <c r="AL34" s="175" t="s">
        <v>4</v>
      </c>
      <c r="AN34" s="192"/>
      <c r="AP34" s="188">
        <f>IF(T32="",0,IF($AZ$9&lt;=AH34,$AZ$9-CI34,IF(AH34&lt;$AZ$9,MIN(AH34,$AZ$9-CI34),0)))</f>
        <v>0</v>
      </c>
      <c r="AQ34" s="188"/>
      <c r="AR34" s="188"/>
      <c r="AS34" s="188"/>
      <c r="AT34" s="175" t="s">
        <v>4</v>
      </c>
      <c r="AU34" s="175"/>
      <c r="AV34" s="183"/>
      <c r="AW34" s="175"/>
      <c r="AX34" s="184">
        <f>$BM$9</f>
        <v>35800</v>
      </c>
      <c r="AY34" s="184"/>
      <c r="AZ34" s="184"/>
      <c r="BA34" s="184"/>
      <c r="BB34" s="175" t="s">
        <v>4</v>
      </c>
      <c r="BC34" s="175"/>
      <c r="BD34" s="12"/>
      <c r="BE34" s="175"/>
      <c r="BF34" s="12"/>
      <c r="BG34" s="12"/>
      <c r="BH34" s="12"/>
      <c r="BI34" s="183"/>
      <c r="BJ34" s="12"/>
      <c r="BK34" s="184" t="str">
        <f>IF(T32="","",IF(T32&lt;6,ROUNDDOWN(AX34*(1-$BF$23)*0.5,-2),IF(AND(6&lt;=T32+1,T32+1&lt;=18),0,0)))</f>
        <v/>
      </c>
      <c r="BL34" s="184"/>
      <c r="BM34" s="184"/>
      <c r="BN34" s="184"/>
      <c r="BO34" s="175" t="s">
        <v>4</v>
      </c>
      <c r="BP34" s="12"/>
      <c r="BQ34" s="183"/>
      <c r="BR34" s="12"/>
      <c r="BS34" s="184">
        <f>IF(T32="",0,IF(T32&lt;6,0,IF(AND(5&lt;T32+1,T32+1&lt;=18),ROUNDDOWN(AX34*(1-$BF$23)*0.8,-2),0)))</f>
        <v>0</v>
      </c>
      <c r="BT34" s="184"/>
      <c r="BU34" s="184"/>
      <c r="BV34" s="184"/>
      <c r="BW34" s="175" t="s">
        <v>4</v>
      </c>
      <c r="BY34" s="183"/>
      <c r="BZ34" s="12"/>
      <c r="CA34" s="184">
        <f>IF(BS34=0,0,AX34-BS34)</f>
        <v>0</v>
      </c>
      <c r="CB34" s="184"/>
      <c r="CC34" s="184"/>
      <c r="CD34" s="184"/>
      <c r="CE34" s="175" t="s">
        <v>4</v>
      </c>
      <c r="CG34" s="192"/>
      <c r="CI34" s="188">
        <f>IF(T32="",0,IF(T32&lt;6,BK34,IF(AND(6&lt;=T32+1,T32+1&lt;=18),BS34,ROUNDDOWN(AX34*(1-$BF$23),-2))))</f>
        <v>0</v>
      </c>
      <c r="CJ34" s="188"/>
      <c r="CK34" s="188"/>
      <c r="CL34" s="188"/>
      <c r="CM34" s="175" t="s">
        <v>4</v>
      </c>
      <c r="CO34" s="192"/>
      <c r="CQ34" s="188">
        <f>IF(CI34="","",AP34+CI34)</f>
        <v>0</v>
      </c>
      <c r="CR34" s="188"/>
      <c r="CS34" s="188"/>
      <c r="CT34" s="188"/>
      <c r="CU34" s="175" t="s">
        <v>4</v>
      </c>
    </row>
    <row r="35" spans="1:99" ht="6" hidden="1" customHeight="1">
      <c r="A35" s="192"/>
      <c r="B35" s="6"/>
      <c r="C35" s="4"/>
      <c r="F35" s="176"/>
      <c r="G35" s="176"/>
      <c r="H35" s="176"/>
      <c r="I35" s="176"/>
      <c r="J35" s="175"/>
      <c r="K35" s="175"/>
      <c r="L35" s="175"/>
      <c r="M35" s="175"/>
      <c r="N35" s="175"/>
      <c r="O35" s="175"/>
      <c r="P35" s="175"/>
      <c r="Q35" s="175"/>
      <c r="R35" s="192"/>
      <c r="T35" s="82"/>
      <c r="U35" s="82"/>
      <c r="V35" s="175"/>
      <c r="W35" s="175"/>
      <c r="X35" s="183"/>
      <c r="Y35" s="175"/>
      <c r="Z35" s="175"/>
      <c r="AA35" s="177"/>
      <c r="AB35" s="177"/>
      <c r="AC35" s="177"/>
      <c r="AD35" s="175"/>
      <c r="AF35" s="183"/>
      <c r="AH35" s="178"/>
      <c r="AI35" s="178"/>
      <c r="AJ35" s="178"/>
      <c r="AK35" s="178"/>
      <c r="AL35" s="175"/>
      <c r="AN35" s="192"/>
      <c r="AP35" s="178"/>
      <c r="AQ35" s="178"/>
      <c r="AR35" s="178"/>
      <c r="AS35" s="178"/>
      <c r="AT35" s="175"/>
      <c r="AU35" s="175"/>
      <c r="AV35" s="183"/>
      <c r="AW35" s="175"/>
      <c r="AX35" s="176"/>
      <c r="AY35" s="176"/>
      <c r="AZ35" s="176"/>
      <c r="BA35" s="176"/>
      <c r="BB35" s="175"/>
      <c r="BC35" s="175"/>
      <c r="BD35" s="12"/>
      <c r="BE35" s="175"/>
      <c r="BF35" s="12"/>
      <c r="BG35" s="12"/>
      <c r="BH35" s="12"/>
      <c r="BI35" s="183"/>
      <c r="BJ35" s="12"/>
      <c r="BK35" s="176"/>
      <c r="BL35" s="176"/>
      <c r="BM35" s="176"/>
      <c r="BN35" s="176"/>
      <c r="BO35" s="175"/>
      <c r="BP35" s="12"/>
      <c r="BQ35" s="183"/>
      <c r="BR35" s="12"/>
      <c r="BS35" s="176"/>
      <c r="BT35" s="176"/>
      <c r="BU35" s="176"/>
      <c r="BV35" s="176"/>
      <c r="BW35" s="175"/>
      <c r="BY35" s="183"/>
      <c r="BZ35" s="12"/>
      <c r="CA35" s="176"/>
      <c r="CB35" s="176"/>
      <c r="CC35" s="176"/>
      <c r="CD35" s="176"/>
      <c r="CE35" s="175"/>
      <c r="CG35" s="192"/>
      <c r="CI35" s="178"/>
      <c r="CJ35" s="178"/>
      <c r="CK35" s="178"/>
      <c r="CL35" s="178"/>
      <c r="CM35" s="175"/>
      <c r="CO35" s="192"/>
      <c r="CQ35" s="178"/>
      <c r="CR35" s="178"/>
      <c r="CS35" s="178"/>
      <c r="CT35" s="178"/>
      <c r="CU35" s="175"/>
    </row>
    <row r="36" spans="1:99" ht="20.100000000000001" hidden="1" customHeight="1">
      <c r="A36" s="192"/>
      <c r="B36" s="6"/>
      <c r="C36" s="4"/>
      <c r="F36" s="176"/>
      <c r="G36" s="176"/>
      <c r="H36" s="176"/>
      <c r="I36" s="176"/>
      <c r="J36" s="175"/>
      <c r="K36" s="175"/>
      <c r="L36" s="175"/>
      <c r="M36" s="175"/>
      <c r="N36" s="175"/>
      <c r="O36" s="175"/>
      <c r="P36" s="175"/>
      <c r="Q36" s="175"/>
      <c r="R36" s="192"/>
      <c r="T36" s="82"/>
      <c r="U36" s="82"/>
      <c r="V36" s="175"/>
      <c r="W36" s="175"/>
      <c r="X36" s="183"/>
      <c r="Y36" s="175"/>
      <c r="Z36" s="175" t="s">
        <v>140</v>
      </c>
      <c r="AA36" s="189" t="str">
        <f>IF(T32="","",$V$11)</f>
        <v/>
      </c>
      <c r="AB36" s="189"/>
      <c r="AC36" s="189"/>
      <c r="AD36" s="175" t="s">
        <v>134</v>
      </c>
      <c r="AF36" s="183"/>
      <c r="AH36" s="188">
        <f>IF(AA36="",0,MAX(ROUNDDOWN((F32-$AP$9)*AA36/100,-2),0,0))</f>
        <v>0</v>
      </c>
      <c r="AI36" s="188"/>
      <c r="AJ36" s="188"/>
      <c r="AK36" s="188"/>
      <c r="AL36" s="175" t="s">
        <v>4</v>
      </c>
      <c r="AN36" s="192"/>
      <c r="AP36" s="188">
        <f>IF(T32="",0,IF($AZ$11&lt;=AH36,$AZ$11-CI36,IF(AH36&lt;$AZ$11,MIN(AH36,$AZ$11-CI36),0)))</f>
        <v>0</v>
      </c>
      <c r="AQ36" s="188"/>
      <c r="AR36" s="188"/>
      <c r="AS36" s="188"/>
      <c r="AT36" s="175" t="s">
        <v>4</v>
      </c>
      <c r="AU36" s="175"/>
      <c r="AV36" s="183"/>
      <c r="AW36" s="175"/>
      <c r="AX36" s="184">
        <f>$BM$11</f>
        <v>15700</v>
      </c>
      <c r="AY36" s="184"/>
      <c r="AZ36" s="184"/>
      <c r="BA36" s="184"/>
      <c r="BB36" s="175" t="s">
        <v>4</v>
      </c>
      <c r="BC36" s="175"/>
      <c r="BD36" s="12"/>
      <c r="BE36" s="175"/>
      <c r="BF36" s="12"/>
      <c r="BG36" s="12"/>
      <c r="BH36" s="12"/>
      <c r="BI36" s="183"/>
      <c r="BJ36" s="12"/>
      <c r="BK36" s="184" t="str">
        <f>IF(T32="","",IF(T32&lt;6,ROUNDDOWN(AX36*(1-$BF$23)*0.5,-2),IF(AND(6&lt;=T32+1,T32+1&lt;=18),0,0)))</f>
        <v/>
      </c>
      <c r="BL36" s="184"/>
      <c r="BM36" s="184"/>
      <c r="BN36" s="184"/>
      <c r="BO36" s="175" t="s">
        <v>4</v>
      </c>
      <c r="BP36" s="12"/>
      <c r="BQ36" s="183"/>
      <c r="BR36" s="12"/>
      <c r="BS36" s="184">
        <f>IF(T32="",0,IF(T32&lt;6,0,IF(AND(5&lt;T32+1,T32+1&lt;=18),ROUNDDOWN(AX36*(1-$BF$23)*0.8,-2),0)))</f>
        <v>0</v>
      </c>
      <c r="BT36" s="184"/>
      <c r="BU36" s="184"/>
      <c r="BV36" s="184"/>
      <c r="BW36" s="175" t="s">
        <v>4</v>
      </c>
      <c r="BY36" s="183"/>
      <c r="BZ36" s="12"/>
      <c r="CA36" s="184">
        <f>IF(BS36=0,0,AX36-BS36)</f>
        <v>0</v>
      </c>
      <c r="CB36" s="184"/>
      <c r="CC36" s="184"/>
      <c r="CD36" s="184"/>
      <c r="CE36" s="175" t="s">
        <v>4</v>
      </c>
      <c r="CG36" s="192"/>
      <c r="CI36" s="188">
        <f>IF(T32="",0,IF(T32&lt;6,BK36,IF(AND(6&lt;=T32+1,T32+1&lt;=18),BS36,ROUNDDOWN(AX36*(1-$BF$23),-2))))</f>
        <v>0</v>
      </c>
      <c r="CJ36" s="188"/>
      <c r="CK36" s="188"/>
      <c r="CL36" s="188"/>
      <c r="CM36" s="175" t="s">
        <v>4</v>
      </c>
      <c r="CO36" s="192"/>
      <c r="CQ36" s="188">
        <f>IF(CI36="","",AP36+CI36)</f>
        <v>0</v>
      </c>
      <c r="CR36" s="188"/>
      <c r="CS36" s="188"/>
      <c r="CT36" s="188"/>
      <c r="CU36" s="175" t="s">
        <v>4</v>
      </c>
    </row>
    <row r="37" spans="1:99" ht="6" hidden="1" customHeight="1">
      <c r="A37" s="192"/>
      <c r="B37" s="6"/>
      <c r="C37" s="4"/>
      <c r="F37" s="176"/>
      <c r="G37" s="176"/>
      <c r="H37" s="176"/>
      <c r="I37" s="176"/>
      <c r="J37" s="175"/>
      <c r="K37" s="175"/>
      <c r="L37" s="175"/>
      <c r="M37" s="175"/>
      <c r="N37" s="175"/>
      <c r="O37" s="175"/>
      <c r="P37" s="175"/>
      <c r="Q37" s="175"/>
      <c r="R37" s="192"/>
      <c r="T37" s="82"/>
      <c r="U37" s="82"/>
      <c r="V37" s="175"/>
      <c r="W37" s="175"/>
      <c r="X37" s="183"/>
      <c r="Y37" s="175"/>
      <c r="Z37" s="175"/>
      <c r="AA37" s="177"/>
      <c r="AB37" s="177"/>
      <c r="AC37" s="177"/>
      <c r="AD37" s="175"/>
      <c r="AF37" s="183"/>
      <c r="AH37" s="178"/>
      <c r="AI37" s="178"/>
      <c r="AJ37" s="178"/>
      <c r="AK37" s="178"/>
      <c r="AL37" s="175"/>
      <c r="AN37" s="192"/>
      <c r="AP37" s="178"/>
      <c r="AQ37" s="178"/>
      <c r="AR37" s="178"/>
      <c r="AS37" s="178"/>
      <c r="AT37" s="175"/>
      <c r="AU37" s="175"/>
      <c r="AV37" s="183"/>
      <c r="AW37" s="175"/>
      <c r="AX37" s="176"/>
      <c r="AY37" s="176"/>
      <c r="AZ37" s="176"/>
      <c r="BA37" s="176"/>
      <c r="BB37" s="175"/>
      <c r="BC37" s="175"/>
      <c r="BD37" s="12"/>
      <c r="BE37" s="175"/>
      <c r="BF37" s="12"/>
      <c r="BG37" s="12"/>
      <c r="BH37" s="12"/>
      <c r="BI37" s="183"/>
      <c r="BJ37" s="12"/>
      <c r="BK37" s="176"/>
      <c r="BL37" s="176"/>
      <c r="BM37" s="176"/>
      <c r="BN37" s="176"/>
      <c r="BO37" s="175"/>
      <c r="BP37" s="12"/>
      <c r="BQ37" s="183"/>
      <c r="BR37" s="12"/>
      <c r="BS37" s="176"/>
      <c r="BT37" s="176"/>
      <c r="BU37" s="176"/>
      <c r="BV37" s="176"/>
      <c r="BW37" s="175"/>
      <c r="BY37" s="183"/>
      <c r="BZ37" s="12"/>
      <c r="CA37" s="176"/>
      <c r="CB37" s="176"/>
      <c r="CC37" s="176"/>
      <c r="CD37" s="176"/>
      <c r="CE37" s="175"/>
      <c r="CG37" s="192"/>
      <c r="CI37" s="178"/>
      <c r="CJ37" s="178"/>
      <c r="CK37" s="178"/>
      <c r="CL37" s="178"/>
      <c r="CM37" s="175"/>
      <c r="CO37" s="192"/>
      <c r="CQ37" s="178"/>
      <c r="CR37" s="178"/>
      <c r="CS37" s="178"/>
      <c r="CT37" s="178"/>
      <c r="CU37" s="175"/>
    </row>
    <row r="38" spans="1:99" ht="20.100000000000001" hidden="1" customHeight="1">
      <c r="A38" s="192"/>
      <c r="B38" s="6"/>
      <c r="C38" s="4"/>
      <c r="F38" s="176"/>
      <c r="G38" s="176"/>
      <c r="H38" s="176"/>
      <c r="I38" s="176"/>
      <c r="J38" s="175"/>
      <c r="K38" s="175"/>
      <c r="L38" s="175"/>
      <c r="M38" s="175"/>
      <c r="N38" s="175"/>
      <c r="O38" s="175"/>
      <c r="P38" s="175"/>
      <c r="Q38" s="175"/>
      <c r="R38" s="192"/>
      <c r="T38" s="82"/>
      <c r="U38" s="82"/>
      <c r="V38" s="175"/>
      <c r="W38" s="175"/>
      <c r="X38" s="183"/>
      <c r="Y38" s="175"/>
      <c r="Z38" s="175" t="s">
        <v>141</v>
      </c>
      <c r="AA38" s="189" t="str">
        <f>IF(T32="","",IF(AND(39&lt;T32+1,T32&lt;65),$V$13,""))</f>
        <v/>
      </c>
      <c r="AB38" s="189"/>
      <c r="AC38" s="189"/>
      <c r="AD38" s="175" t="s">
        <v>134</v>
      </c>
      <c r="AF38" s="183"/>
      <c r="AH38" s="188">
        <f>IF(AA38="",0,MAX(ROUNDDOWN((F32-$AP$9)*AA38/100,-2),0,0))</f>
        <v>0</v>
      </c>
      <c r="AI38" s="188"/>
      <c r="AJ38" s="188"/>
      <c r="AK38" s="188"/>
      <c r="AL38" s="175" t="s">
        <v>4</v>
      </c>
      <c r="AN38" s="192"/>
      <c r="AP38" s="188">
        <f>IF(T32="",0,IF($AZ$13&lt;=AH38,$AZ$13-CI38,IF(AH38&lt;$AZ$13,MIN(AH38,$AZ$13-CI38),0)))</f>
        <v>0</v>
      </c>
      <c r="AQ38" s="188"/>
      <c r="AR38" s="188"/>
      <c r="AS38" s="188"/>
      <c r="AT38" s="175" t="s">
        <v>4</v>
      </c>
      <c r="AU38" s="175"/>
      <c r="AV38" s="183"/>
      <c r="AW38" s="175"/>
      <c r="AX38" s="184">
        <f>IF(T32="",0,IF(AND(39&lt;T32+1,T32&lt;65),13600,0))</f>
        <v>0</v>
      </c>
      <c r="AY38" s="184"/>
      <c r="AZ38" s="184"/>
      <c r="BA38" s="184"/>
      <c r="BB38" s="175" t="s">
        <v>4</v>
      </c>
      <c r="BC38" s="175"/>
      <c r="BD38" s="12"/>
      <c r="BE38" s="175"/>
      <c r="BF38" s="12"/>
      <c r="BG38" s="12"/>
      <c r="BH38" s="12"/>
      <c r="BI38" s="183"/>
      <c r="BJ38" s="12"/>
      <c r="BK38" s="184" t="str">
        <f>IF(T32="","",IF(T32&lt;6,ROUNDDOWN(AX38*(1-$BF$23)*0.5,-2),IF(AND(6&lt;=T32+1,T32+1&lt;=18),0,0)))</f>
        <v/>
      </c>
      <c r="BL38" s="184"/>
      <c r="BM38" s="184"/>
      <c r="BN38" s="184"/>
      <c r="BO38" s="175" t="s">
        <v>4</v>
      </c>
      <c r="BP38" s="12"/>
      <c r="BQ38" s="183"/>
      <c r="BR38" s="12"/>
      <c r="BS38" s="184">
        <f>IF(T32="",0,IF(T32&lt;6,0,IF(AND(5&lt;T32+1,T32+1&lt;=18),ROUNDDOWN(AX38*(1-$BF$23)*0.8,-2),0)))</f>
        <v>0</v>
      </c>
      <c r="BT38" s="184"/>
      <c r="BU38" s="184"/>
      <c r="BV38" s="184"/>
      <c r="BW38" s="175" t="s">
        <v>4</v>
      </c>
      <c r="BY38" s="183"/>
      <c r="BZ38" s="12"/>
      <c r="CA38" s="184">
        <f>IF(BS38=0,0,AX38-BS38)</f>
        <v>0</v>
      </c>
      <c r="CB38" s="184"/>
      <c r="CC38" s="184"/>
      <c r="CD38" s="184"/>
      <c r="CE38" s="175" t="s">
        <v>4</v>
      </c>
      <c r="CG38" s="192"/>
      <c r="CI38" s="188">
        <f>IF(T32="",0,IF(T32&lt;6,BK38,IF(AND(6&lt;=T32+1,T32+1&lt;=18),BS38,ROUNDDOWN(AX38*(1-$BF$23),-2))))</f>
        <v>0</v>
      </c>
      <c r="CJ38" s="188"/>
      <c r="CK38" s="188"/>
      <c r="CL38" s="188"/>
      <c r="CM38" s="175" t="s">
        <v>4</v>
      </c>
      <c r="CO38" s="192"/>
      <c r="CQ38" s="188">
        <f>IF(CI38="","",AP38+CI38)</f>
        <v>0</v>
      </c>
      <c r="CR38" s="188"/>
      <c r="CS38" s="188"/>
      <c r="CT38" s="188"/>
      <c r="CU38" s="175" t="s">
        <v>4</v>
      </c>
    </row>
    <row r="39" spans="1:99" ht="6" customHeight="1">
      <c r="A39" s="192"/>
      <c r="B39" s="6"/>
      <c r="C39" s="8"/>
      <c r="D39" s="8"/>
      <c r="E39" s="8"/>
      <c r="F39" s="8"/>
      <c r="G39" s="8"/>
      <c r="H39" s="8"/>
      <c r="I39" s="8"/>
      <c r="J39" s="8"/>
      <c r="K39" s="9"/>
      <c r="L39" s="9"/>
      <c r="M39" s="9"/>
      <c r="N39" s="9"/>
      <c r="O39" s="9"/>
      <c r="P39" s="9"/>
      <c r="Q39" s="9"/>
      <c r="R39" s="192"/>
      <c r="T39" s="8"/>
      <c r="U39" s="8"/>
      <c r="V39" s="8"/>
      <c r="X39" s="183"/>
      <c r="Z39" s="8"/>
      <c r="AA39" s="8"/>
      <c r="AB39" s="8"/>
      <c r="AC39" s="8"/>
      <c r="AD39" s="8"/>
      <c r="AF39" s="183"/>
      <c r="AH39" s="8"/>
      <c r="AI39" s="8"/>
      <c r="AJ39" s="8"/>
      <c r="AK39" s="8"/>
      <c r="AL39" s="8"/>
      <c r="AN39" s="192"/>
      <c r="AP39" s="11"/>
      <c r="AQ39" s="11"/>
      <c r="AR39" s="11"/>
      <c r="AS39" s="11"/>
      <c r="AT39" s="8"/>
      <c r="AV39" s="183"/>
      <c r="AX39" s="11"/>
      <c r="AY39" s="11"/>
      <c r="AZ39" s="11"/>
      <c r="BA39" s="11"/>
      <c r="BB39" s="8"/>
      <c r="BD39" s="12"/>
      <c r="BF39" s="12"/>
      <c r="BG39" s="12"/>
      <c r="BH39" s="12"/>
      <c r="BI39" s="183"/>
      <c r="BJ39" s="12"/>
      <c r="BK39" s="11"/>
      <c r="BL39" s="11"/>
      <c r="BM39" s="11"/>
      <c r="BN39" s="11"/>
      <c r="BO39" s="8"/>
      <c r="BP39" s="12"/>
      <c r="BQ39" s="183"/>
      <c r="BR39" s="12"/>
      <c r="BS39" s="11"/>
      <c r="BT39" s="11"/>
      <c r="BU39" s="11"/>
      <c r="BV39" s="11"/>
      <c r="BW39" s="8"/>
      <c r="BY39" s="183"/>
      <c r="BZ39" s="12"/>
      <c r="CA39" s="11"/>
      <c r="CB39" s="11"/>
      <c r="CC39" s="11"/>
      <c r="CD39" s="11"/>
      <c r="CE39" s="8"/>
      <c r="CG39" s="192"/>
      <c r="CI39" s="11"/>
      <c r="CJ39" s="11"/>
      <c r="CK39" s="11"/>
      <c r="CL39" s="11"/>
      <c r="CM39" s="8"/>
      <c r="CO39" s="192"/>
      <c r="CQ39" s="11"/>
      <c r="CR39" s="11"/>
      <c r="CS39" s="11"/>
      <c r="CT39" s="11"/>
      <c r="CU39" s="8"/>
    </row>
    <row r="40" spans="1:99" ht="6" customHeight="1">
      <c r="A40" s="192"/>
      <c r="B40" s="6"/>
      <c r="C40" s="10"/>
      <c r="D40" s="10"/>
      <c r="E40" s="10"/>
      <c r="F40" s="10"/>
      <c r="G40" s="10"/>
      <c r="H40" s="10"/>
      <c r="I40" s="10"/>
      <c r="J40" s="10"/>
      <c r="K40" s="9"/>
      <c r="L40" s="9"/>
      <c r="M40" s="9"/>
      <c r="N40" s="9"/>
      <c r="O40" s="9"/>
      <c r="P40" s="9"/>
      <c r="Q40" s="9"/>
      <c r="R40" s="192"/>
      <c r="T40" s="10"/>
      <c r="U40" s="10"/>
      <c r="V40" s="10"/>
      <c r="X40" s="183"/>
      <c r="Z40" s="10"/>
      <c r="AA40" s="10"/>
      <c r="AB40" s="10"/>
      <c r="AC40" s="10"/>
      <c r="AD40" s="10"/>
      <c r="AF40" s="183"/>
      <c r="AH40" s="10"/>
      <c r="AI40" s="10"/>
      <c r="AJ40" s="10"/>
      <c r="AK40" s="10"/>
      <c r="AL40" s="10"/>
      <c r="AN40" s="192"/>
      <c r="AP40" s="13"/>
      <c r="AQ40" s="13"/>
      <c r="AR40" s="13"/>
      <c r="AS40" s="13"/>
      <c r="AT40" s="10"/>
      <c r="AV40" s="183"/>
      <c r="AX40" s="13"/>
      <c r="AY40" s="13"/>
      <c r="AZ40" s="13"/>
      <c r="BA40" s="13"/>
      <c r="BB40" s="10"/>
      <c r="BD40" s="12"/>
      <c r="BF40" s="12"/>
      <c r="BG40" s="12"/>
      <c r="BH40" s="12"/>
      <c r="BI40" s="183"/>
      <c r="BJ40" s="12"/>
      <c r="BK40" s="13"/>
      <c r="BL40" s="13"/>
      <c r="BM40" s="13"/>
      <c r="BN40" s="13"/>
      <c r="BO40" s="10"/>
      <c r="BP40" s="12"/>
      <c r="BQ40" s="183"/>
      <c r="BR40" s="12"/>
      <c r="BS40" s="13"/>
      <c r="BT40" s="13"/>
      <c r="BU40" s="13"/>
      <c r="BV40" s="13"/>
      <c r="BW40" s="10"/>
      <c r="BY40" s="183"/>
      <c r="BZ40" s="12"/>
      <c r="CA40" s="13"/>
      <c r="CB40" s="13"/>
      <c r="CC40" s="13"/>
      <c r="CD40" s="13"/>
      <c r="CE40" s="10"/>
      <c r="CG40" s="192"/>
      <c r="CI40" s="13"/>
      <c r="CJ40" s="13"/>
      <c r="CK40" s="13"/>
      <c r="CL40" s="13"/>
      <c r="CM40" s="10"/>
      <c r="CO40" s="192"/>
      <c r="CQ40" s="13"/>
      <c r="CR40" s="13"/>
      <c r="CS40" s="13"/>
      <c r="CT40" s="13"/>
      <c r="CU40" s="10"/>
    </row>
    <row r="41" spans="1:99" ht="20.100000000000001" customHeight="1">
      <c r="A41" s="192"/>
      <c r="B41" s="6"/>
      <c r="C41" s="4" t="s">
        <v>15</v>
      </c>
      <c r="F41" s="193"/>
      <c r="G41" s="193"/>
      <c r="H41" s="193"/>
      <c r="I41" s="193"/>
      <c r="J41" s="175" t="s">
        <v>4</v>
      </c>
      <c r="K41" s="175"/>
      <c r="L41" s="14"/>
      <c r="M41" s="175"/>
      <c r="N41" s="175"/>
      <c r="O41" s="175"/>
      <c r="P41" s="175"/>
      <c r="Q41" s="175"/>
      <c r="R41" s="192"/>
      <c r="T41" s="196"/>
      <c r="U41" s="196"/>
      <c r="V41" s="175" t="s">
        <v>7</v>
      </c>
      <c r="W41" s="175"/>
      <c r="X41" s="183"/>
      <c r="Y41" s="175"/>
      <c r="Z41" s="175" t="s">
        <v>138</v>
      </c>
      <c r="AA41" s="189" t="str">
        <f>IF(T41="","",IF(AND(39&lt;T41+1,T41&lt;65),SUM($V$9:$Y$13),SUM($V$9:$Y$11)))</f>
        <v/>
      </c>
      <c r="AB41" s="189"/>
      <c r="AC41" s="189"/>
      <c r="AD41" s="175" t="s">
        <v>134</v>
      </c>
      <c r="AF41" s="183"/>
      <c r="AH41" s="188">
        <f>IF(AA41="",0,MAX(ROUNDDOWN((F41-$AP$9)*AA41/100,-2),0,0))</f>
        <v>0</v>
      </c>
      <c r="AI41" s="188"/>
      <c r="AJ41" s="188"/>
      <c r="AK41" s="188"/>
      <c r="AL41" s="175" t="s">
        <v>4</v>
      </c>
      <c r="AN41" s="192"/>
      <c r="AP41" s="191">
        <f>IF(T41="",0,MAX(SUM(AP43:AS47,0)))</f>
        <v>0</v>
      </c>
      <c r="AQ41" s="191"/>
      <c r="AR41" s="191"/>
      <c r="AS41" s="191"/>
      <c r="AT41" s="175" t="s">
        <v>4</v>
      </c>
      <c r="AU41" s="175"/>
      <c r="AV41" s="183"/>
      <c r="AW41" s="175"/>
      <c r="AX41" s="184" t="str">
        <f>IF(T41="","",IF(AND(39&lt;T41+1,T41&lt;65),$BM$9+$BM$11+$BM$13,$BM$9+$BM$11))</f>
        <v/>
      </c>
      <c r="AY41" s="184"/>
      <c r="AZ41" s="184"/>
      <c r="BA41" s="184"/>
      <c r="BB41" s="175" t="s">
        <v>4</v>
      </c>
      <c r="BC41" s="175"/>
      <c r="BD41" s="12"/>
      <c r="BE41" s="175"/>
      <c r="BF41" s="12"/>
      <c r="BG41" s="12"/>
      <c r="BH41" s="12"/>
      <c r="BI41" s="183"/>
      <c r="BJ41" s="12"/>
      <c r="BK41" s="184" t="str">
        <f>IF(T41="","",IF(T41&lt;6,ROUNDDOWN(AX41*(1-$BF$23)*0.5,-2),IF(AND(6&lt;=T41+1,T41+1&lt;=18),0,0)))</f>
        <v/>
      </c>
      <c r="BL41" s="184"/>
      <c r="BM41" s="184"/>
      <c r="BN41" s="184"/>
      <c r="BO41" s="175" t="s">
        <v>4</v>
      </c>
      <c r="BP41" s="12"/>
      <c r="BQ41" s="183"/>
      <c r="BR41" s="12"/>
      <c r="BS41" s="184">
        <f>IF(T41="",0,IF(T41&lt;6,0,IF(AND(5&lt;T41+1,T41+1&lt;=18),ROUNDDOWN(AX41*(1-$BF$23)*0.8,-2),0)))</f>
        <v>0</v>
      </c>
      <c r="BT41" s="184"/>
      <c r="BU41" s="184"/>
      <c r="BV41" s="184"/>
      <c r="BW41" s="175" t="s">
        <v>4</v>
      </c>
      <c r="BY41" s="183"/>
      <c r="BZ41" s="12"/>
      <c r="CA41" s="184">
        <f>IF(BS41=0,0,AX41-BS41)</f>
        <v>0</v>
      </c>
      <c r="CB41" s="184"/>
      <c r="CC41" s="184"/>
      <c r="CD41" s="184"/>
      <c r="CE41" s="175" t="s">
        <v>4</v>
      </c>
      <c r="CG41" s="192"/>
      <c r="CI41" s="191">
        <f>IF(T41="",0,IF(T41&lt;6,BK41,IF(AND(6&lt;=T41+1,T41+1&lt;=18),BS41,ROUNDDOWN(AX41*(1-$BF$23),-2))))</f>
        <v>0</v>
      </c>
      <c r="CJ41" s="191"/>
      <c r="CK41" s="191"/>
      <c r="CL41" s="191"/>
      <c r="CM41" s="175" t="s">
        <v>4</v>
      </c>
      <c r="CO41" s="192"/>
      <c r="CQ41" s="191">
        <f>IF(CI41="","",AP41+CI41)</f>
        <v>0</v>
      </c>
      <c r="CR41" s="191"/>
      <c r="CS41" s="191"/>
      <c r="CT41" s="191"/>
      <c r="CU41" s="175" t="s">
        <v>4</v>
      </c>
    </row>
    <row r="42" spans="1:99" ht="6" hidden="1" customHeight="1">
      <c r="A42" s="192"/>
      <c r="B42" s="6"/>
      <c r="C42" s="4"/>
      <c r="F42" s="176"/>
      <c r="G42" s="176"/>
      <c r="H42" s="176"/>
      <c r="I42" s="176"/>
      <c r="J42" s="175"/>
      <c r="K42" s="175"/>
      <c r="L42" s="14"/>
      <c r="M42" s="175"/>
      <c r="N42" s="175"/>
      <c r="O42" s="175"/>
      <c r="P42" s="175"/>
      <c r="Q42" s="175"/>
      <c r="R42" s="192"/>
      <c r="T42" s="82"/>
      <c r="U42" s="82"/>
      <c r="V42" s="175"/>
      <c r="W42" s="175"/>
      <c r="X42" s="183"/>
      <c r="Y42" s="175"/>
      <c r="Z42" s="175"/>
      <c r="AA42" s="177"/>
      <c r="AB42" s="177"/>
      <c r="AC42" s="177"/>
      <c r="AD42" s="175"/>
      <c r="AF42" s="183"/>
      <c r="AH42" s="178"/>
      <c r="AI42" s="178"/>
      <c r="AJ42" s="178"/>
      <c r="AK42" s="178"/>
      <c r="AL42" s="175"/>
      <c r="AN42" s="192"/>
      <c r="AP42" s="178"/>
      <c r="AQ42" s="178"/>
      <c r="AR42" s="178"/>
      <c r="AS42" s="178"/>
      <c r="AT42" s="175"/>
      <c r="AU42" s="175"/>
      <c r="AV42" s="183"/>
      <c r="AW42" s="175"/>
      <c r="AX42" s="176"/>
      <c r="AY42" s="176"/>
      <c r="AZ42" s="176"/>
      <c r="BA42" s="176"/>
      <c r="BB42" s="175"/>
      <c r="BC42" s="175"/>
      <c r="BD42" s="12"/>
      <c r="BE42" s="175"/>
      <c r="BF42" s="12"/>
      <c r="BG42" s="12"/>
      <c r="BH42" s="12"/>
      <c r="BI42" s="183"/>
      <c r="BJ42" s="12"/>
      <c r="BK42" s="176"/>
      <c r="BL42" s="176"/>
      <c r="BM42" s="176"/>
      <c r="BN42" s="176"/>
      <c r="BO42" s="175"/>
      <c r="BP42" s="12"/>
      <c r="BQ42" s="183"/>
      <c r="BR42" s="12"/>
      <c r="BS42" s="176"/>
      <c r="BT42" s="176"/>
      <c r="BU42" s="176"/>
      <c r="BV42" s="176"/>
      <c r="BW42" s="175"/>
      <c r="BY42" s="183"/>
      <c r="BZ42" s="12"/>
      <c r="CA42" s="176"/>
      <c r="CB42" s="176"/>
      <c r="CC42" s="176"/>
      <c r="CD42" s="176"/>
      <c r="CE42" s="175"/>
      <c r="CG42" s="192"/>
      <c r="CI42" s="178"/>
      <c r="CJ42" s="178"/>
      <c r="CK42" s="178"/>
      <c r="CL42" s="178"/>
      <c r="CM42" s="175"/>
      <c r="CO42" s="192"/>
      <c r="CQ42" s="178"/>
      <c r="CR42" s="178"/>
      <c r="CS42" s="178"/>
      <c r="CT42" s="178"/>
      <c r="CU42" s="175"/>
    </row>
    <row r="43" spans="1:99" ht="20.100000000000001" hidden="1" customHeight="1">
      <c r="A43" s="192"/>
      <c r="B43" s="6"/>
      <c r="C43" s="4"/>
      <c r="F43" s="176"/>
      <c r="G43" s="176"/>
      <c r="H43" s="176"/>
      <c r="I43" s="176"/>
      <c r="J43" s="175"/>
      <c r="K43" s="175"/>
      <c r="L43" s="14"/>
      <c r="M43" s="175"/>
      <c r="N43" s="175"/>
      <c r="O43" s="175"/>
      <c r="P43" s="175"/>
      <c r="Q43" s="175"/>
      <c r="R43" s="192"/>
      <c r="T43" s="82"/>
      <c r="U43" s="82"/>
      <c r="V43" s="175"/>
      <c r="W43" s="175"/>
      <c r="X43" s="183"/>
      <c r="Y43" s="175"/>
      <c r="Z43" s="175" t="s">
        <v>139</v>
      </c>
      <c r="AA43" s="189" t="str">
        <f>IF(T41="","",$V$9)</f>
        <v/>
      </c>
      <c r="AB43" s="189"/>
      <c r="AC43" s="189"/>
      <c r="AD43" s="175" t="s">
        <v>134</v>
      </c>
      <c r="AF43" s="183"/>
      <c r="AH43" s="188">
        <f>IF(AA43="",0,MAX(ROUNDDOWN((F41-$AP$9)*AA43/100,-2),0,0))</f>
        <v>0</v>
      </c>
      <c r="AI43" s="188"/>
      <c r="AJ43" s="188"/>
      <c r="AK43" s="188"/>
      <c r="AL43" s="175" t="s">
        <v>4</v>
      </c>
      <c r="AN43" s="192"/>
      <c r="AP43" s="188">
        <f>IF(T41="",0,IF($AZ$9&lt;=AH43,$AZ$9-CI43,IF(AH43&lt;$AZ$9,MIN(AH43,$AZ$9-CI43),0)))</f>
        <v>0</v>
      </c>
      <c r="AQ43" s="188"/>
      <c r="AR43" s="188"/>
      <c r="AS43" s="188"/>
      <c r="AT43" s="175" t="s">
        <v>4</v>
      </c>
      <c r="AU43" s="175"/>
      <c r="AV43" s="183"/>
      <c r="AW43" s="175"/>
      <c r="AX43" s="184">
        <f>$BM$9</f>
        <v>35800</v>
      </c>
      <c r="AY43" s="184"/>
      <c r="AZ43" s="184"/>
      <c r="BA43" s="184"/>
      <c r="BB43" s="175" t="s">
        <v>4</v>
      </c>
      <c r="BC43" s="175"/>
      <c r="BD43" s="12"/>
      <c r="BE43" s="175"/>
      <c r="BF43" s="12"/>
      <c r="BG43" s="12"/>
      <c r="BH43" s="12"/>
      <c r="BI43" s="183"/>
      <c r="BJ43" s="12"/>
      <c r="BK43" s="184" t="str">
        <f>IF(T41="","",IF(T41&lt;6,ROUNDDOWN(AX43*(1-$BF$23)*0.5,-2),IF(AND(6&lt;=T41+1,T41+1&lt;=18),0,0)))</f>
        <v/>
      </c>
      <c r="BL43" s="184"/>
      <c r="BM43" s="184"/>
      <c r="BN43" s="184"/>
      <c r="BO43" s="175" t="s">
        <v>4</v>
      </c>
      <c r="BP43" s="12"/>
      <c r="BQ43" s="183"/>
      <c r="BR43" s="12"/>
      <c r="BS43" s="184">
        <f>IF(T41="",0,IF(T41&lt;6,0,IF(AND(5&lt;T41+1,T41+1&lt;=18),ROUNDDOWN(AX43*(1-$BF$23)*0.8,-2),0)))</f>
        <v>0</v>
      </c>
      <c r="BT43" s="184"/>
      <c r="BU43" s="184"/>
      <c r="BV43" s="184"/>
      <c r="BW43" s="175" t="s">
        <v>4</v>
      </c>
      <c r="BY43" s="183"/>
      <c r="BZ43" s="12"/>
      <c r="CA43" s="184">
        <f>IF(BS43=0,0,AX43-BS43)</f>
        <v>0</v>
      </c>
      <c r="CB43" s="184"/>
      <c r="CC43" s="184"/>
      <c r="CD43" s="184"/>
      <c r="CE43" s="175" t="s">
        <v>4</v>
      </c>
      <c r="CG43" s="192"/>
      <c r="CI43" s="188">
        <f>IF(T41="",0,IF(T41&lt;6,BK43,IF(AND(6&lt;=T41+1,T41+1&lt;=18),BS43,ROUNDDOWN(AX43*(1-$BF$23),-2))))</f>
        <v>0</v>
      </c>
      <c r="CJ43" s="188"/>
      <c r="CK43" s="188"/>
      <c r="CL43" s="188"/>
      <c r="CM43" s="175" t="s">
        <v>4</v>
      </c>
      <c r="CO43" s="192"/>
      <c r="CQ43" s="188">
        <f>IF(CI43="","",AP43+CI43)</f>
        <v>0</v>
      </c>
      <c r="CR43" s="188"/>
      <c r="CS43" s="188"/>
      <c r="CT43" s="188"/>
      <c r="CU43" s="175" t="s">
        <v>4</v>
      </c>
    </row>
    <row r="44" spans="1:99" ht="6" hidden="1" customHeight="1">
      <c r="A44" s="192"/>
      <c r="B44" s="6"/>
      <c r="C44" s="4"/>
      <c r="F44" s="176"/>
      <c r="G44" s="176"/>
      <c r="H44" s="176"/>
      <c r="I44" s="176"/>
      <c r="J44" s="175"/>
      <c r="K44" s="175"/>
      <c r="L44" s="14"/>
      <c r="M44" s="175"/>
      <c r="N44" s="175"/>
      <c r="O44" s="175"/>
      <c r="P44" s="175"/>
      <c r="Q44" s="175"/>
      <c r="R44" s="192"/>
      <c r="T44" s="82"/>
      <c r="U44" s="82"/>
      <c r="V44" s="175"/>
      <c r="W44" s="175"/>
      <c r="X44" s="183"/>
      <c r="Y44" s="175"/>
      <c r="Z44" s="175"/>
      <c r="AA44" s="177"/>
      <c r="AB44" s="177"/>
      <c r="AC44" s="177"/>
      <c r="AD44" s="175"/>
      <c r="AF44" s="183"/>
      <c r="AH44" s="178"/>
      <c r="AI44" s="178"/>
      <c r="AJ44" s="178"/>
      <c r="AK44" s="178"/>
      <c r="AL44" s="175"/>
      <c r="AN44" s="192"/>
      <c r="AP44" s="178"/>
      <c r="AQ44" s="178"/>
      <c r="AR44" s="178"/>
      <c r="AS44" s="178"/>
      <c r="AT44" s="175"/>
      <c r="AU44" s="175"/>
      <c r="AV44" s="183"/>
      <c r="AW44" s="175"/>
      <c r="AX44" s="176"/>
      <c r="AY44" s="176"/>
      <c r="AZ44" s="176"/>
      <c r="BA44" s="176"/>
      <c r="BB44" s="175"/>
      <c r="BC44" s="175"/>
      <c r="BD44" s="12"/>
      <c r="BE44" s="175"/>
      <c r="BF44" s="12"/>
      <c r="BG44" s="12"/>
      <c r="BH44" s="12"/>
      <c r="BI44" s="183"/>
      <c r="BJ44" s="12"/>
      <c r="BK44" s="176"/>
      <c r="BL44" s="176"/>
      <c r="BM44" s="176"/>
      <c r="BN44" s="176"/>
      <c r="BO44" s="175"/>
      <c r="BP44" s="12"/>
      <c r="BQ44" s="183"/>
      <c r="BR44" s="12"/>
      <c r="BS44" s="176"/>
      <c r="BT44" s="176"/>
      <c r="BU44" s="176"/>
      <c r="BV44" s="176"/>
      <c r="BW44" s="175"/>
      <c r="BY44" s="183"/>
      <c r="BZ44" s="12"/>
      <c r="CA44" s="176"/>
      <c r="CB44" s="176"/>
      <c r="CC44" s="176"/>
      <c r="CD44" s="176"/>
      <c r="CE44" s="175"/>
      <c r="CG44" s="192"/>
      <c r="CI44" s="178"/>
      <c r="CJ44" s="178"/>
      <c r="CK44" s="178"/>
      <c r="CL44" s="178"/>
      <c r="CM44" s="175"/>
      <c r="CO44" s="192"/>
      <c r="CQ44" s="178"/>
      <c r="CR44" s="178"/>
      <c r="CS44" s="178"/>
      <c r="CT44" s="178"/>
      <c r="CU44" s="175"/>
    </row>
    <row r="45" spans="1:99" ht="20.100000000000001" hidden="1" customHeight="1">
      <c r="A45" s="192"/>
      <c r="B45" s="6"/>
      <c r="C45" s="4"/>
      <c r="F45" s="176"/>
      <c r="G45" s="176"/>
      <c r="H45" s="176"/>
      <c r="I45" s="176"/>
      <c r="J45" s="175"/>
      <c r="K45" s="175"/>
      <c r="L45" s="14"/>
      <c r="M45" s="175"/>
      <c r="N45" s="175"/>
      <c r="O45" s="175"/>
      <c r="P45" s="175"/>
      <c r="Q45" s="175"/>
      <c r="R45" s="192"/>
      <c r="T45" s="82"/>
      <c r="U45" s="82"/>
      <c r="V45" s="175"/>
      <c r="W45" s="175"/>
      <c r="X45" s="183"/>
      <c r="Y45" s="175"/>
      <c r="Z45" s="175" t="s">
        <v>140</v>
      </c>
      <c r="AA45" s="189" t="str">
        <f>IF(T41="","",$V$11)</f>
        <v/>
      </c>
      <c r="AB45" s="189"/>
      <c r="AC45" s="189"/>
      <c r="AD45" s="175" t="s">
        <v>134</v>
      </c>
      <c r="AF45" s="183"/>
      <c r="AH45" s="188">
        <f>IF(AA45="",0,MAX(ROUNDDOWN((F41-$AP$9)*AA45/100,-2),0,0))</f>
        <v>0</v>
      </c>
      <c r="AI45" s="188"/>
      <c r="AJ45" s="188"/>
      <c r="AK45" s="188"/>
      <c r="AL45" s="175" t="s">
        <v>4</v>
      </c>
      <c r="AN45" s="192"/>
      <c r="AP45" s="188">
        <f>IF(T41="",0,IF($AZ$11&lt;=AH45,$AZ$11-CI45,IF(AH45&lt;$AZ$11,MIN(AH45,$AZ$11-CI45),0)))</f>
        <v>0</v>
      </c>
      <c r="AQ45" s="188"/>
      <c r="AR45" s="188"/>
      <c r="AS45" s="188"/>
      <c r="AT45" s="175" t="s">
        <v>4</v>
      </c>
      <c r="AU45" s="175"/>
      <c r="AV45" s="183"/>
      <c r="AW45" s="175"/>
      <c r="AX45" s="184">
        <f>$BM$11</f>
        <v>15700</v>
      </c>
      <c r="AY45" s="184"/>
      <c r="AZ45" s="184"/>
      <c r="BA45" s="184"/>
      <c r="BB45" s="175" t="s">
        <v>4</v>
      </c>
      <c r="BC45" s="175"/>
      <c r="BD45" s="12"/>
      <c r="BE45" s="175"/>
      <c r="BF45" s="12"/>
      <c r="BG45" s="12"/>
      <c r="BH45" s="12"/>
      <c r="BI45" s="183"/>
      <c r="BJ45" s="12"/>
      <c r="BK45" s="184" t="str">
        <f>IF(T41="","",IF(T41&lt;6,ROUNDDOWN(AX45*(1-$BF$23)*0.5,-2),IF(AND(6&lt;=T41+1,T41+1&lt;=18),0,0)))</f>
        <v/>
      </c>
      <c r="BL45" s="184"/>
      <c r="BM45" s="184"/>
      <c r="BN45" s="184"/>
      <c r="BO45" s="175" t="s">
        <v>4</v>
      </c>
      <c r="BP45" s="12"/>
      <c r="BQ45" s="183"/>
      <c r="BR45" s="12"/>
      <c r="BS45" s="184">
        <f>IF(T41="",0,IF(T41&lt;6,0,IF(AND(5&lt;T41+1,T41+1&lt;=18),ROUNDDOWN(AX45*(1-$BF$23)*0.8,-2),0)))</f>
        <v>0</v>
      </c>
      <c r="BT45" s="184"/>
      <c r="BU45" s="184"/>
      <c r="BV45" s="184"/>
      <c r="BW45" s="175" t="s">
        <v>4</v>
      </c>
      <c r="BY45" s="183"/>
      <c r="BZ45" s="12"/>
      <c r="CA45" s="184">
        <f>IF(BS45=0,0,AX45-BS45)</f>
        <v>0</v>
      </c>
      <c r="CB45" s="184"/>
      <c r="CC45" s="184"/>
      <c r="CD45" s="184"/>
      <c r="CE45" s="175" t="s">
        <v>4</v>
      </c>
      <c r="CG45" s="192"/>
      <c r="CI45" s="188">
        <f>IF(T41="",0,IF(T41&lt;6,BK45,IF(AND(6&lt;=T41+1,T41+1&lt;=18),BS45,ROUNDDOWN(AX45*(1-$BF$23),-2))))</f>
        <v>0</v>
      </c>
      <c r="CJ45" s="188"/>
      <c r="CK45" s="188"/>
      <c r="CL45" s="188"/>
      <c r="CM45" s="175" t="s">
        <v>4</v>
      </c>
      <c r="CO45" s="192"/>
      <c r="CQ45" s="188">
        <f>IF(CI45="","",AP45+CI45)</f>
        <v>0</v>
      </c>
      <c r="CR45" s="188"/>
      <c r="CS45" s="188"/>
      <c r="CT45" s="188"/>
      <c r="CU45" s="175" t="s">
        <v>4</v>
      </c>
    </row>
    <row r="46" spans="1:99" ht="6" hidden="1" customHeight="1">
      <c r="A46" s="192"/>
      <c r="B46" s="6"/>
      <c r="C46" s="4"/>
      <c r="F46" s="176"/>
      <c r="G46" s="176"/>
      <c r="H46" s="176"/>
      <c r="I46" s="176"/>
      <c r="J46" s="175"/>
      <c r="K46" s="175"/>
      <c r="L46" s="14"/>
      <c r="M46" s="175"/>
      <c r="N46" s="175"/>
      <c r="O46" s="175"/>
      <c r="P46" s="175"/>
      <c r="Q46" s="175"/>
      <c r="R46" s="192"/>
      <c r="T46" s="82"/>
      <c r="U46" s="82"/>
      <c r="V46" s="175"/>
      <c r="W46" s="175"/>
      <c r="X46" s="183"/>
      <c r="Y46" s="175"/>
      <c r="Z46" s="175"/>
      <c r="AA46" s="177"/>
      <c r="AB46" s="177"/>
      <c r="AC46" s="177"/>
      <c r="AD46" s="175"/>
      <c r="AF46" s="183"/>
      <c r="AH46" s="178"/>
      <c r="AI46" s="178"/>
      <c r="AJ46" s="178"/>
      <c r="AK46" s="178"/>
      <c r="AL46" s="175"/>
      <c r="AN46" s="192"/>
      <c r="AP46" s="178"/>
      <c r="AQ46" s="178"/>
      <c r="AR46" s="178"/>
      <c r="AS46" s="178"/>
      <c r="AT46" s="175"/>
      <c r="AU46" s="175"/>
      <c r="AV46" s="183"/>
      <c r="AW46" s="175"/>
      <c r="AX46" s="176"/>
      <c r="AY46" s="176"/>
      <c r="AZ46" s="176"/>
      <c r="BA46" s="176"/>
      <c r="BB46" s="175"/>
      <c r="BC46" s="175"/>
      <c r="BD46" s="12"/>
      <c r="BE46" s="175"/>
      <c r="BF46" s="12"/>
      <c r="BG46" s="12"/>
      <c r="BH46" s="12"/>
      <c r="BI46" s="183"/>
      <c r="BJ46" s="12"/>
      <c r="BK46" s="176"/>
      <c r="BL46" s="176"/>
      <c r="BM46" s="176"/>
      <c r="BN46" s="176"/>
      <c r="BO46" s="175"/>
      <c r="BP46" s="12"/>
      <c r="BQ46" s="183"/>
      <c r="BR46" s="12"/>
      <c r="BS46" s="176"/>
      <c r="BT46" s="176"/>
      <c r="BU46" s="176"/>
      <c r="BV46" s="176"/>
      <c r="BW46" s="175"/>
      <c r="BY46" s="183"/>
      <c r="BZ46" s="12"/>
      <c r="CA46" s="176"/>
      <c r="CB46" s="176"/>
      <c r="CC46" s="176"/>
      <c r="CD46" s="176"/>
      <c r="CE46" s="175"/>
      <c r="CG46" s="192"/>
      <c r="CI46" s="178"/>
      <c r="CJ46" s="178"/>
      <c r="CK46" s="178"/>
      <c r="CL46" s="178"/>
      <c r="CM46" s="175"/>
      <c r="CO46" s="192"/>
      <c r="CQ46" s="178"/>
      <c r="CR46" s="178"/>
      <c r="CS46" s="178"/>
      <c r="CT46" s="178"/>
      <c r="CU46" s="175"/>
    </row>
    <row r="47" spans="1:99" ht="20.100000000000001" hidden="1" customHeight="1">
      <c r="A47" s="192"/>
      <c r="B47" s="6"/>
      <c r="C47" s="4"/>
      <c r="F47" s="176"/>
      <c r="G47" s="176"/>
      <c r="H47" s="176"/>
      <c r="I47" s="176"/>
      <c r="J47" s="175"/>
      <c r="K47" s="175"/>
      <c r="L47" s="14"/>
      <c r="M47" s="175"/>
      <c r="N47" s="175"/>
      <c r="O47" s="175"/>
      <c r="P47" s="175"/>
      <c r="Q47" s="175"/>
      <c r="R47" s="192"/>
      <c r="T47" s="82"/>
      <c r="U47" s="82"/>
      <c r="V47" s="175"/>
      <c r="W47" s="175"/>
      <c r="X47" s="183"/>
      <c r="Y47" s="175"/>
      <c r="Z47" s="175" t="s">
        <v>141</v>
      </c>
      <c r="AA47" s="189" t="str">
        <f>IF(T41="","",IF(AND(39&lt;T41+1,T41&lt;65),$V$13,""))</f>
        <v/>
      </c>
      <c r="AB47" s="189"/>
      <c r="AC47" s="189"/>
      <c r="AD47" s="175" t="s">
        <v>134</v>
      </c>
      <c r="AF47" s="183"/>
      <c r="AH47" s="188">
        <f>IF(AA47="",0,MAX(ROUNDDOWN((F41-$AP$9)*AA47/100,-2),0,0))</f>
        <v>0</v>
      </c>
      <c r="AI47" s="188"/>
      <c r="AJ47" s="188"/>
      <c r="AK47" s="188"/>
      <c r="AL47" s="175" t="s">
        <v>4</v>
      </c>
      <c r="AN47" s="192"/>
      <c r="AP47" s="188">
        <f>IF(T41="",0,IF($AZ$13&lt;=AH47,$AZ$13-CI47,IF(AH47&lt;$AZ$13,MIN(AH47,$AZ$13-CI47),0)))</f>
        <v>0</v>
      </c>
      <c r="AQ47" s="188"/>
      <c r="AR47" s="188"/>
      <c r="AS47" s="188"/>
      <c r="AT47" s="175" t="s">
        <v>4</v>
      </c>
      <c r="AU47" s="175"/>
      <c r="AV47" s="183"/>
      <c r="AW47" s="175"/>
      <c r="AX47" s="184">
        <f>IF(T41="",0,IF(AND(39&lt;T41+1,T41&lt;65),13600,0))</f>
        <v>0</v>
      </c>
      <c r="AY47" s="184"/>
      <c r="AZ47" s="184"/>
      <c r="BA47" s="184"/>
      <c r="BB47" s="175" t="s">
        <v>4</v>
      </c>
      <c r="BC47" s="175"/>
      <c r="BD47" s="12"/>
      <c r="BE47" s="175"/>
      <c r="BF47" s="12"/>
      <c r="BG47" s="12"/>
      <c r="BH47" s="12"/>
      <c r="BI47" s="183"/>
      <c r="BJ47" s="12"/>
      <c r="BK47" s="184" t="str">
        <f>IF(T41="","",IF(T41&lt;6,ROUNDDOWN(AX47*(1-$BF$23)*0.5,-2),IF(AND(6&lt;=T41+1,T41+1&lt;=18),0,0)))</f>
        <v/>
      </c>
      <c r="BL47" s="184"/>
      <c r="BM47" s="184"/>
      <c r="BN47" s="184"/>
      <c r="BO47" s="175" t="s">
        <v>4</v>
      </c>
      <c r="BP47" s="12"/>
      <c r="BQ47" s="183"/>
      <c r="BR47" s="12"/>
      <c r="BS47" s="184">
        <f>IF(T41="",0,IF(T41&lt;6,0,IF(AND(5&lt;T41+1,T41+1&lt;=18),ROUNDDOWN(AX47*(1-$BF$23)*0.8,-2),0)))</f>
        <v>0</v>
      </c>
      <c r="BT47" s="184"/>
      <c r="BU47" s="184"/>
      <c r="BV47" s="184"/>
      <c r="BW47" s="175" t="s">
        <v>4</v>
      </c>
      <c r="BY47" s="183"/>
      <c r="BZ47" s="12"/>
      <c r="CA47" s="184">
        <f>IF(BS47=0,0,AX47-BS47)</f>
        <v>0</v>
      </c>
      <c r="CB47" s="184"/>
      <c r="CC47" s="184"/>
      <c r="CD47" s="184"/>
      <c r="CE47" s="175" t="s">
        <v>4</v>
      </c>
      <c r="CG47" s="192"/>
      <c r="CI47" s="188">
        <f>IF(T41="",0,IF(T41&lt;6,BK47,IF(AND(6&lt;=T41+1,T41+1&lt;=18),BS47,ROUNDDOWN(AX47*(1-$BF$23),-2))))</f>
        <v>0</v>
      </c>
      <c r="CJ47" s="188"/>
      <c r="CK47" s="188"/>
      <c r="CL47" s="188"/>
      <c r="CM47" s="175" t="s">
        <v>4</v>
      </c>
      <c r="CO47" s="192"/>
      <c r="CQ47" s="188">
        <f>IF(CI47="","",AP47+CI47)</f>
        <v>0</v>
      </c>
      <c r="CR47" s="188"/>
      <c r="CS47" s="188"/>
      <c r="CT47" s="188"/>
      <c r="CU47" s="175" t="s">
        <v>4</v>
      </c>
    </row>
    <row r="48" spans="1:99" ht="6" customHeight="1">
      <c r="A48" s="192"/>
      <c r="B48" s="6"/>
      <c r="C48" s="8"/>
      <c r="D48" s="8"/>
      <c r="E48" s="8"/>
      <c r="F48" s="8"/>
      <c r="G48" s="8"/>
      <c r="H48" s="8"/>
      <c r="I48" s="8"/>
      <c r="J48" s="8"/>
      <c r="K48" s="9"/>
      <c r="L48" s="9"/>
      <c r="M48" s="9"/>
      <c r="N48" s="9"/>
      <c r="O48" s="9"/>
      <c r="P48" s="9"/>
      <c r="Q48" s="9"/>
      <c r="R48" s="192"/>
      <c r="T48" s="8"/>
      <c r="U48" s="8"/>
      <c r="V48" s="8"/>
      <c r="X48" s="183"/>
      <c r="Z48" s="8"/>
      <c r="AA48" s="8"/>
      <c r="AB48" s="8"/>
      <c r="AC48" s="8"/>
      <c r="AD48" s="8"/>
      <c r="AF48" s="183"/>
      <c r="AH48" s="8"/>
      <c r="AI48" s="8"/>
      <c r="AJ48" s="8"/>
      <c r="AK48" s="8"/>
      <c r="AL48" s="8"/>
      <c r="AN48" s="192"/>
      <c r="AP48" s="11"/>
      <c r="AQ48" s="11"/>
      <c r="AR48" s="11"/>
      <c r="AS48" s="11"/>
      <c r="AT48" s="8"/>
      <c r="AV48" s="183"/>
      <c r="AX48" s="11"/>
      <c r="AY48" s="11"/>
      <c r="AZ48" s="11"/>
      <c r="BA48" s="11"/>
      <c r="BB48" s="8"/>
      <c r="BD48" s="12"/>
      <c r="BF48" s="12"/>
      <c r="BG48" s="12"/>
      <c r="BH48" s="12"/>
      <c r="BI48" s="183"/>
      <c r="BJ48" s="12"/>
      <c r="BK48" s="11"/>
      <c r="BL48" s="11"/>
      <c r="BM48" s="11"/>
      <c r="BN48" s="11"/>
      <c r="BO48" s="8"/>
      <c r="BP48" s="12"/>
      <c r="BQ48" s="183"/>
      <c r="BR48" s="12"/>
      <c r="BS48" s="11"/>
      <c r="BT48" s="11"/>
      <c r="BU48" s="11"/>
      <c r="BV48" s="11"/>
      <c r="BW48" s="8"/>
      <c r="BY48" s="183"/>
      <c r="BZ48" s="12"/>
      <c r="CA48" s="11"/>
      <c r="CB48" s="11"/>
      <c r="CC48" s="11"/>
      <c r="CD48" s="11"/>
      <c r="CE48" s="8"/>
      <c r="CG48" s="192"/>
      <c r="CI48" s="11"/>
      <c r="CJ48" s="11"/>
      <c r="CK48" s="11"/>
      <c r="CL48" s="11"/>
      <c r="CM48" s="8"/>
      <c r="CO48" s="192"/>
      <c r="CQ48" s="11"/>
      <c r="CR48" s="11"/>
      <c r="CS48" s="11"/>
      <c r="CT48" s="11"/>
      <c r="CU48" s="8"/>
    </row>
    <row r="49" spans="1:99" ht="6" customHeight="1">
      <c r="A49" s="192"/>
      <c r="B49" s="6"/>
      <c r="C49" s="10"/>
      <c r="D49" s="10"/>
      <c r="E49" s="10"/>
      <c r="F49" s="10"/>
      <c r="G49" s="10"/>
      <c r="H49" s="10"/>
      <c r="I49" s="10"/>
      <c r="J49" s="10"/>
      <c r="K49" s="9"/>
      <c r="L49" s="9"/>
      <c r="M49" s="9"/>
      <c r="N49" s="9"/>
      <c r="O49" s="9"/>
      <c r="P49" s="9"/>
      <c r="Q49" s="9"/>
      <c r="R49" s="192"/>
      <c r="T49" s="10"/>
      <c r="U49" s="10"/>
      <c r="V49" s="10"/>
      <c r="X49" s="183"/>
      <c r="Z49" s="10"/>
      <c r="AA49" s="10"/>
      <c r="AB49" s="10"/>
      <c r="AC49" s="10"/>
      <c r="AD49" s="10"/>
      <c r="AF49" s="183"/>
      <c r="AH49" s="10"/>
      <c r="AI49" s="10"/>
      <c r="AJ49" s="10"/>
      <c r="AK49" s="10"/>
      <c r="AL49" s="10"/>
      <c r="AN49" s="192"/>
      <c r="AP49" s="13"/>
      <c r="AQ49" s="13"/>
      <c r="AR49" s="13"/>
      <c r="AS49" s="13"/>
      <c r="AT49" s="10"/>
      <c r="AV49" s="183"/>
      <c r="AX49" s="13"/>
      <c r="AY49" s="13"/>
      <c r="AZ49" s="13"/>
      <c r="BA49" s="13"/>
      <c r="BB49" s="10"/>
      <c r="BD49" s="12"/>
      <c r="BF49" s="12"/>
      <c r="BG49" s="12"/>
      <c r="BH49" s="12"/>
      <c r="BI49" s="183"/>
      <c r="BJ49" s="12"/>
      <c r="BK49" s="13"/>
      <c r="BL49" s="13"/>
      <c r="BM49" s="13"/>
      <c r="BN49" s="13"/>
      <c r="BO49" s="10"/>
      <c r="BP49" s="12"/>
      <c r="BQ49" s="183"/>
      <c r="BR49" s="12"/>
      <c r="BS49" s="13"/>
      <c r="BT49" s="13"/>
      <c r="BU49" s="13"/>
      <c r="BV49" s="13"/>
      <c r="BW49" s="10"/>
      <c r="BY49" s="183"/>
      <c r="BZ49" s="12"/>
      <c r="CA49" s="13"/>
      <c r="CB49" s="13"/>
      <c r="CC49" s="13"/>
      <c r="CD49" s="13"/>
      <c r="CE49" s="10"/>
      <c r="CG49" s="192"/>
      <c r="CI49" s="13"/>
      <c r="CJ49" s="13"/>
      <c r="CK49" s="13"/>
      <c r="CL49" s="13"/>
      <c r="CM49" s="10"/>
      <c r="CO49" s="192"/>
      <c r="CQ49" s="13"/>
      <c r="CR49" s="13"/>
      <c r="CS49" s="13"/>
      <c r="CT49" s="13"/>
      <c r="CU49" s="10"/>
    </row>
    <row r="50" spans="1:99" ht="20.100000000000001" customHeight="1">
      <c r="A50" s="192"/>
      <c r="B50" s="6"/>
      <c r="C50" s="4" t="s">
        <v>16</v>
      </c>
      <c r="F50" s="193"/>
      <c r="G50" s="193"/>
      <c r="H50" s="193"/>
      <c r="I50" s="193"/>
      <c r="J50" s="175" t="s">
        <v>4</v>
      </c>
      <c r="K50" s="175"/>
      <c r="L50" s="175"/>
      <c r="M50" s="175"/>
      <c r="N50" s="175"/>
      <c r="O50" s="175"/>
      <c r="P50" s="175"/>
      <c r="Q50" s="175"/>
      <c r="R50" s="192"/>
      <c r="T50" s="196"/>
      <c r="U50" s="196"/>
      <c r="V50" s="175" t="s">
        <v>7</v>
      </c>
      <c r="W50" s="175"/>
      <c r="X50" s="183"/>
      <c r="Y50" s="175"/>
      <c r="Z50" s="175" t="s">
        <v>138</v>
      </c>
      <c r="AA50" s="189" t="str">
        <f>IF(T50="","",IF(AND(39&lt;T50+1,T50&lt;65),SUM($V$9:$Y$13),SUM($V$9:$Y$11)))</f>
        <v/>
      </c>
      <c r="AB50" s="189"/>
      <c r="AC50" s="189"/>
      <c r="AD50" s="175" t="s">
        <v>134</v>
      </c>
      <c r="AF50" s="183"/>
      <c r="AH50" s="188">
        <f>IF(AA50="",0,MAX(ROUNDDOWN((F50-$AP$9)*AA50/100,-2),0,0))</f>
        <v>0</v>
      </c>
      <c r="AI50" s="188"/>
      <c r="AJ50" s="188"/>
      <c r="AK50" s="188"/>
      <c r="AL50" s="175" t="s">
        <v>4</v>
      </c>
      <c r="AN50" s="192"/>
      <c r="AP50" s="191">
        <f>IF(T50="",0,MAX(SUM(AP52:AS56,0)))</f>
        <v>0</v>
      </c>
      <c r="AQ50" s="191"/>
      <c r="AR50" s="191"/>
      <c r="AS50" s="191"/>
      <c r="AT50" s="175" t="s">
        <v>4</v>
      </c>
      <c r="AU50" s="175"/>
      <c r="AV50" s="183"/>
      <c r="AW50" s="175"/>
      <c r="AX50" s="184" t="str">
        <f>IF(T50="","",IF(AND(39&lt;T50+1,T50&lt;65),$BM$9+$BM$11+$BM$13,$BM$9+$BM$11))</f>
        <v/>
      </c>
      <c r="AY50" s="184"/>
      <c r="AZ50" s="184"/>
      <c r="BA50" s="184"/>
      <c r="BB50" s="175" t="s">
        <v>4</v>
      </c>
      <c r="BC50" s="175"/>
      <c r="BD50" s="12"/>
      <c r="BE50" s="175"/>
      <c r="BF50" s="12"/>
      <c r="BG50" s="12"/>
      <c r="BH50" s="12"/>
      <c r="BI50" s="183"/>
      <c r="BJ50" s="12"/>
      <c r="BK50" s="184" t="str">
        <f>IF(T50="","",IF(T50&lt;6,ROUNDDOWN(AX50*(1-$BF$23)*0.5,-2),IF(AND(6&lt;=T50+1,T50+1&lt;=18),0,0)))</f>
        <v/>
      </c>
      <c r="BL50" s="184"/>
      <c r="BM50" s="184"/>
      <c r="BN50" s="184"/>
      <c r="BO50" s="175" t="s">
        <v>4</v>
      </c>
      <c r="BP50" s="12"/>
      <c r="BQ50" s="183"/>
      <c r="BR50" s="12"/>
      <c r="BS50" s="184">
        <f>IF(T50="",0,IF(T50&lt;6,0,IF(AND(5&lt;T50+1,T50+1&lt;=18),ROUNDDOWN(AX50*(1-$BF$23)*0.8,-2),0)))</f>
        <v>0</v>
      </c>
      <c r="BT50" s="184"/>
      <c r="BU50" s="184"/>
      <c r="BV50" s="184"/>
      <c r="BW50" s="175" t="s">
        <v>4</v>
      </c>
      <c r="BY50" s="183"/>
      <c r="BZ50" s="12"/>
      <c r="CA50" s="184">
        <f>IF(BS50=0,0,AX50-BS50)</f>
        <v>0</v>
      </c>
      <c r="CB50" s="184"/>
      <c r="CC50" s="184"/>
      <c r="CD50" s="184"/>
      <c r="CE50" s="175" t="s">
        <v>4</v>
      </c>
      <c r="CG50" s="192"/>
      <c r="CI50" s="191">
        <f>IF(T50="",0,IF(T50&lt;6,BK50,IF(AND(6&lt;=T50+1,T50+1&lt;=18),BS50,ROUNDDOWN(AX50*(1-$BF$23),-2))))</f>
        <v>0</v>
      </c>
      <c r="CJ50" s="191"/>
      <c r="CK50" s="191"/>
      <c r="CL50" s="191"/>
      <c r="CM50" s="175" t="s">
        <v>4</v>
      </c>
      <c r="CO50" s="192"/>
      <c r="CQ50" s="191">
        <f>IF(CI50="","",AP50+CI50)</f>
        <v>0</v>
      </c>
      <c r="CR50" s="191"/>
      <c r="CS50" s="191"/>
      <c r="CT50" s="191"/>
      <c r="CU50" s="175" t="s">
        <v>4</v>
      </c>
    </row>
    <row r="51" spans="1:99" ht="6" hidden="1" customHeight="1">
      <c r="A51" s="192"/>
      <c r="B51" s="6"/>
      <c r="C51" s="4"/>
      <c r="F51" s="176"/>
      <c r="G51" s="176"/>
      <c r="H51" s="176"/>
      <c r="I51" s="176"/>
      <c r="J51" s="175"/>
      <c r="K51" s="175"/>
      <c r="L51" s="175"/>
      <c r="M51" s="175"/>
      <c r="N51" s="175"/>
      <c r="O51" s="175"/>
      <c r="P51" s="175"/>
      <c r="Q51" s="175"/>
      <c r="R51" s="192"/>
      <c r="T51" s="82"/>
      <c r="U51" s="82"/>
      <c r="V51" s="175"/>
      <c r="W51" s="175"/>
      <c r="X51" s="183"/>
      <c r="Y51" s="175"/>
      <c r="Z51" s="175"/>
      <c r="AA51" s="177"/>
      <c r="AB51" s="177"/>
      <c r="AC51" s="177"/>
      <c r="AD51" s="175"/>
      <c r="AF51" s="183"/>
      <c r="AH51" s="178"/>
      <c r="AI51" s="178"/>
      <c r="AJ51" s="178"/>
      <c r="AK51" s="178"/>
      <c r="AL51" s="175"/>
      <c r="AN51" s="192"/>
      <c r="AP51" s="178"/>
      <c r="AQ51" s="178"/>
      <c r="AR51" s="178"/>
      <c r="AS51" s="178"/>
      <c r="AT51" s="175"/>
      <c r="AU51" s="175"/>
      <c r="AV51" s="183"/>
      <c r="AW51" s="175"/>
      <c r="AX51" s="176"/>
      <c r="AY51" s="176"/>
      <c r="AZ51" s="176"/>
      <c r="BA51" s="176"/>
      <c r="BB51" s="175"/>
      <c r="BC51" s="175"/>
      <c r="BD51" s="12"/>
      <c r="BE51" s="175"/>
      <c r="BF51" s="12"/>
      <c r="BG51" s="12"/>
      <c r="BH51" s="12"/>
      <c r="BI51" s="183"/>
      <c r="BJ51" s="12"/>
      <c r="BK51" s="176"/>
      <c r="BL51" s="176"/>
      <c r="BM51" s="176"/>
      <c r="BN51" s="176"/>
      <c r="BO51" s="175"/>
      <c r="BP51" s="12"/>
      <c r="BQ51" s="183"/>
      <c r="BR51" s="12"/>
      <c r="BS51" s="176"/>
      <c r="BT51" s="176"/>
      <c r="BU51" s="176"/>
      <c r="BV51" s="176"/>
      <c r="BW51" s="175"/>
      <c r="BY51" s="183"/>
      <c r="BZ51" s="12"/>
      <c r="CA51" s="176"/>
      <c r="CB51" s="176"/>
      <c r="CC51" s="176"/>
      <c r="CD51" s="176"/>
      <c r="CE51" s="175"/>
      <c r="CG51" s="192"/>
      <c r="CI51" s="178"/>
      <c r="CJ51" s="178"/>
      <c r="CK51" s="178"/>
      <c r="CL51" s="178"/>
      <c r="CM51" s="175"/>
      <c r="CO51" s="192"/>
      <c r="CQ51" s="178"/>
      <c r="CR51" s="178"/>
      <c r="CS51" s="178"/>
      <c r="CT51" s="178"/>
      <c r="CU51" s="175"/>
    </row>
    <row r="52" spans="1:99" ht="20.100000000000001" hidden="1" customHeight="1">
      <c r="A52" s="192"/>
      <c r="B52" s="6"/>
      <c r="C52" s="4"/>
      <c r="F52" s="176"/>
      <c r="G52" s="176"/>
      <c r="H52" s="176"/>
      <c r="I52" s="176"/>
      <c r="J52" s="175"/>
      <c r="K52" s="175"/>
      <c r="L52" s="175"/>
      <c r="M52" s="175"/>
      <c r="N52" s="175"/>
      <c r="O52" s="175"/>
      <c r="P52" s="175"/>
      <c r="Q52" s="175"/>
      <c r="R52" s="192"/>
      <c r="T52" s="82"/>
      <c r="U52" s="82"/>
      <c r="V52" s="175"/>
      <c r="W52" s="175"/>
      <c r="X52" s="183"/>
      <c r="Y52" s="175"/>
      <c r="Z52" s="175" t="s">
        <v>139</v>
      </c>
      <c r="AA52" s="189" t="str">
        <f>IF(T50="","",$V$9)</f>
        <v/>
      </c>
      <c r="AB52" s="189"/>
      <c r="AC52" s="189"/>
      <c r="AD52" s="175" t="s">
        <v>134</v>
      </c>
      <c r="AF52" s="183"/>
      <c r="AH52" s="188">
        <f>IF(AA52="",0,MAX(ROUNDDOWN((F50-$AP$9)*AA52/100,-2),0,0))</f>
        <v>0</v>
      </c>
      <c r="AI52" s="188"/>
      <c r="AJ52" s="188"/>
      <c r="AK52" s="188"/>
      <c r="AL52" s="175" t="s">
        <v>4</v>
      </c>
      <c r="AN52" s="192"/>
      <c r="AP52" s="188">
        <f>IF(T50="",0,IF($AZ$9&lt;=AH52,$AZ$9-CI52,IF(AH52&lt;$AZ$9,MIN(AH52,$AZ$9-CI52),0)))</f>
        <v>0</v>
      </c>
      <c r="AQ52" s="188"/>
      <c r="AR52" s="188"/>
      <c r="AS52" s="188"/>
      <c r="AT52" s="175" t="s">
        <v>4</v>
      </c>
      <c r="AU52" s="175"/>
      <c r="AV52" s="183"/>
      <c r="AW52" s="175"/>
      <c r="AX52" s="184">
        <f>$BM$9</f>
        <v>35800</v>
      </c>
      <c r="AY52" s="184"/>
      <c r="AZ52" s="184"/>
      <c r="BA52" s="184"/>
      <c r="BB52" s="175" t="s">
        <v>4</v>
      </c>
      <c r="BC52" s="175"/>
      <c r="BD52" s="12"/>
      <c r="BE52" s="175"/>
      <c r="BF52" s="12"/>
      <c r="BG52" s="12"/>
      <c r="BH52" s="12"/>
      <c r="BI52" s="183"/>
      <c r="BJ52" s="12"/>
      <c r="BK52" s="184" t="str">
        <f>IF(T50="","",IF(T50&lt;6,ROUNDDOWN(AX52*(1-$BF$23)*0.5,-2),IF(AND(6&lt;=T50+1,T50+1&lt;=18),0,0)))</f>
        <v/>
      </c>
      <c r="BL52" s="184"/>
      <c r="BM52" s="184"/>
      <c r="BN52" s="184"/>
      <c r="BO52" s="175" t="s">
        <v>4</v>
      </c>
      <c r="BP52" s="12"/>
      <c r="BQ52" s="183"/>
      <c r="BR52" s="12"/>
      <c r="BS52" s="184">
        <f>IF(T50="",0,IF(T50&lt;6,0,IF(AND(5&lt;T50+1,T50+1&lt;=18),ROUNDDOWN(AX52*(1-$BF$23)*0.8,-2),0)))</f>
        <v>0</v>
      </c>
      <c r="BT52" s="184"/>
      <c r="BU52" s="184"/>
      <c r="BV52" s="184"/>
      <c r="BW52" s="175" t="s">
        <v>4</v>
      </c>
      <c r="BY52" s="183"/>
      <c r="BZ52" s="12"/>
      <c r="CA52" s="184">
        <f>IF(BS52=0,0,AX52-BS52)</f>
        <v>0</v>
      </c>
      <c r="CB52" s="184"/>
      <c r="CC52" s="184"/>
      <c r="CD52" s="184"/>
      <c r="CE52" s="175" t="s">
        <v>4</v>
      </c>
      <c r="CG52" s="192"/>
      <c r="CI52" s="188">
        <f>IF(T50="",0,IF(T50&lt;6,BK52,IF(AND(6&lt;=T50+1,T50+1&lt;=18),BS52,ROUNDDOWN(AX52*(1-$BF$23),-2))))</f>
        <v>0</v>
      </c>
      <c r="CJ52" s="188"/>
      <c r="CK52" s="188"/>
      <c r="CL52" s="188"/>
      <c r="CM52" s="175" t="s">
        <v>4</v>
      </c>
      <c r="CO52" s="192"/>
      <c r="CQ52" s="188">
        <f>IF(CI52="","",AP52+CI52)</f>
        <v>0</v>
      </c>
      <c r="CR52" s="188"/>
      <c r="CS52" s="188"/>
      <c r="CT52" s="188"/>
      <c r="CU52" s="175" t="s">
        <v>4</v>
      </c>
    </row>
    <row r="53" spans="1:99" ht="6" hidden="1" customHeight="1">
      <c r="A53" s="192"/>
      <c r="B53" s="6"/>
      <c r="C53" s="4"/>
      <c r="F53" s="176"/>
      <c r="G53" s="176"/>
      <c r="H53" s="176"/>
      <c r="I53" s="176"/>
      <c r="J53" s="175"/>
      <c r="K53" s="175"/>
      <c r="L53" s="175"/>
      <c r="M53" s="175"/>
      <c r="N53" s="175"/>
      <c r="O53" s="175"/>
      <c r="P53" s="175"/>
      <c r="Q53" s="175"/>
      <c r="R53" s="192"/>
      <c r="T53" s="82"/>
      <c r="U53" s="82"/>
      <c r="V53" s="175"/>
      <c r="W53" s="175"/>
      <c r="X53" s="183"/>
      <c r="Y53" s="175"/>
      <c r="Z53" s="175"/>
      <c r="AA53" s="177"/>
      <c r="AB53" s="177"/>
      <c r="AC53" s="177"/>
      <c r="AD53" s="175"/>
      <c r="AF53" s="183"/>
      <c r="AH53" s="178"/>
      <c r="AI53" s="178"/>
      <c r="AJ53" s="178"/>
      <c r="AK53" s="178"/>
      <c r="AL53" s="175"/>
      <c r="AN53" s="192"/>
      <c r="AP53" s="178"/>
      <c r="AQ53" s="178"/>
      <c r="AR53" s="178"/>
      <c r="AS53" s="178"/>
      <c r="AT53" s="175"/>
      <c r="AU53" s="175"/>
      <c r="AV53" s="183"/>
      <c r="AW53" s="175"/>
      <c r="AX53" s="176"/>
      <c r="AY53" s="176"/>
      <c r="AZ53" s="176"/>
      <c r="BA53" s="176"/>
      <c r="BB53" s="175"/>
      <c r="BC53" s="175"/>
      <c r="BD53" s="12"/>
      <c r="BE53" s="175"/>
      <c r="BF53" s="12"/>
      <c r="BG53" s="12"/>
      <c r="BH53" s="12"/>
      <c r="BI53" s="183"/>
      <c r="BJ53" s="12"/>
      <c r="BK53" s="176"/>
      <c r="BL53" s="176"/>
      <c r="BM53" s="176"/>
      <c r="BN53" s="176"/>
      <c r="BO53" s="175"/>
      <c r="BP53" s="12"/>
      <c r="BQ53" s="183"/>
      <c r="BR53" s="12"/>
      <c r="BS53" s="176"/>
      <c r="BT53" s="176"/>
      <c r="BU53" s="176"/>
      <c r="BV53" s="176"/>
      <c r="BW53" s="175"/>
      <c r="BY53" s="183"/>
      <c r="BZ53" s="12"/>
      <c r="CA53" s="176"/>
      <c r="CB53" s="176"/>
      <c r="CC53" s="176"/>
      <c r="CD53" s="176"/>
      <c r="CE53" s="175"/>
      <c r="CG53" s="192"/>
      <c r="CI53" s="178"/>
      <c r="CJ53" s="178"/>
      <c r="CK53" s="178"/>
      <c r="CL53" s="178"/>
      <c r="CM53" s="175"/>
      <c r="CO53" s="192"/>
      <c r="CQ53" s="178"/>
      <c r="CR53" s="178"/>
      <c r="CS53" s="178"/>
      <c r="CT53" s="178"/>
      <c r="CU53" s="175"/>
    </row>
    <row r="54" spans="1:99" ht="20.100000000000001" hidden="1" customHeight="1">
      <c r="A54" s="192"/>
      <c r="B54" s="6"/>
      <c r="C54" s="4"/>
      <c r="F54" s="176"/>
      <c r="G54" s="176"/>
      <c r="H54" s="176"/>
      <c r="I54" s="176"/>
      <c r="J54" s="175"/>
      <c r="K54" s="175"/>
      <c r="L54" s="175"/>
      <c r="M54" s="175"/>
      <c r="N54" s="175"/>
      <c r="O54" s="175"/>
      <c r="P54" s="175"/>
      <c r="Q54" s="175"/>
      <c r="R54" s="192"/>
      <c r="T54" s="82"/>
      <c r="U54" s="82"/>
      <c r="V54" s="175"/>
      <c r="W54" s="175"/>
      <c r="X54" s="183"/>
      <c r="Y54" s="175"/>
      <c r="Z54" s="175" t="s">
        <v>140</v>
      </c>
      <c r="AA54" s="189" t="str">
        <f>IF(T50="","",$V$11)</f>
        <v/>
      </c>
      <c r="AB54" s="189"/>
      <c r="AC54" s="189"/>
      <c r="AD54" s="175" t="s">
        <v>134</v>
      </c>
      <c r="AF54" s="183"/>
      <c r="AH54" s="188">
        <f>IF(AA54="",0,MAX(ROUNDDOWN((F50-$AP$9)*AA54/100,-2),0,0))</f>
        <v>0</v>
      </c>
      <c r="AI54" s="188"/>
      <c r="AJ54" s="188"/>
      <c r="AK54" s="188"/>
      <c r="AL54" s="175" t="s">
        <v>4</v>
      </c>
      <c r="AN54" s="192"/>
      <c r="AP54" s="188">
        <f>IF(T50="",0,IF($AZ$11&lt;=AH54,$AZ$11-CI54,IF(AH54&lt;$AZ$11,MIN(AH54,$AZ$11-CI54),0)))</f>
        <v>0</v>
      </c>
      <c r="AQ54" s="188"/>
      <c r="AR54" s="188"/>
      <c r="AS54" s="188"/>
      <c r="AT54" s="175" t="s">
        <v>4</v>
      </c>
      <c r="AU54" s="175"/>
      <c r="AV54" s="183"/>
      <c r="AW54" s="175"/>
      <c r="AX54" s="184">
        <f>$BM$11</f>
        <v>15700</v>
      </c>
      <c r="AY54" s="184"/>
      <c r="AZ54" s="184"/>
      <c r="BA54" s="184"/>
      <c r="BB54" s="175" t="s">
        <v>4</v>
      </c>
      <c r="BC54" s="175"/>
      <c r="BD54" s="12"/>
      <c r="BE54" s="175"/>
      <c r="BF54" s="12"/>
      <c r="BG54" s="12"/>
      <c r="BH54" s="12"/>
      <c r="BI54" s="183"/>
      <c r="BJ54" s="12"/>
      <c r="BK54" s="184" t="str">
        <f>IF(T50="","",IF(T50&lt;6,ROUNDDOWN(AX54*(1-$BF$23)*0.5,-2),IF(AND(6&lt;=T50+1,T50+1&lt;=18),0,0)))</f>
        <v/>
      </c>
      <c r="BL54" s="184"/>
      <c r="BM54" s="184"/>
      <c r="BN54" s="184"/>
      <c r="BO54" s="175" t="s">
        <v>4</v>
      </c>
      <c r="BP54" s="12"/>
      <c r="BQ54" s="183"/>
      <c r="BR54" s="12"/>
      <c r="BS54" s="184">
        <f>IF(T50="",0,IF(T50&lt;6,0,IF(AND(5&lt;T50+1,T50+1&lt;=18),ROUNDDOWN(AX54*(1-$BF$23)*0.8,-2),0)))</f>
        <v>0</v>
      </c>
      <c r="BT54" s="184"/>
      <c r="BU54" s="184"/>
      <c r="BV54" s="184"/>
      <c r="BW54" s="175" t="s">
        <v>4</v>
      </c>
      <c r="BY54" s="183"/>
      <c r="BZ54" s="12"/>
      <c r="CA54" s="184">
        <f>IF(BS54=0,0,AX54-BS54)</f>
        <v>0</v>
      </c>
      <c r="CB54" s="184"/>
      <c r="CC54" s="184"/>
      <c r="CD54" s="184"/>
      <c r="CE54" s="175" t="s">
        <v>4</v>
      </c>
      <c r="CG54" s="192"/>
      <c r="CI54" s="188">
        <f>IF(T50="",0,IF(T50&lt;6,BK54,IF(AND(6&lt;=T50+1,T50+1&lt;=18),BS54,ROUNDDOWN(AX54*(1-$BF$23),-2))))</f>
        <v>0</v>
      </c>
      <c r="CJ54" s="188"/>
      <c r="CK54" s="188"/>
      <c r="CL54" s="188"/>
      <c r="CM54" s="175" t="s">
        <v>4</v>
      </c>
      <c r="CO54" s="192"/>
      <c r="CQ54" s="188">
        <f>IF(CI54="","",AP54+CI54)</f>
        <v>0</v>
      </c>
      <c r="CR54" s="188"/>
      <c r="CS54" s="188"/>
      <c r="CT54" s="188"/>
      <c r="CU54" s="175" t="s">
        <v>4</v>
      </c>
    </row>
    <row r="55" spans="1:99" ht="6" hidden="1" customHeight="1">
      <c r="A55" s="192"/>
      <c r="B55" s="6"/>
      <c r="C55" s="4"/>
      <c r="F55" s="176"/>
      <c r="G55" s="176"/>
      <c r="H55" s="176"/>
      <c r="I55" s="176"/>
      <c r="J55" s="175"/>
      <c r="K55" s="175"/>
      <c r="L55" s="175"/>
      <c r="M55" s="175"/>
      <c r="N55" s="175"/>
      <c r="O55" s="175"/>
      <c r="P55" s="175"/>
      <c r="Q55" s="175"/>
      <c r="R55" s="192"/>
      <c r="T55" s="82"/>
      <c r="U55" s="82"/>
      <c r="V55" s="175"/>
      <c r="W55" s="175"/>
      <c r="X55" s="183"/>
      <c r="Y55" s="175"/>
      <c r="Z55" s="175"/>
      <c r="AA55" s="177"/>
      <c r="AB55" s="177"/>
      <c r="AC55" s="177"/>
      <c r="AD55" s="175"/>
      <c r="AF55" s="183"/>
      <c r="AH55" s="178"/>
      <c r="AI55" s="178"/>
      <c r="AJ55" s="178"/>
      <c r="AK55" s="178"/>
      <c r="AL55" s="175"/>
      <c r="AN55" s="192"/>
      <c r="AP55" s="178"/>
      <c r="AQ55" s="178"/>
      <c r="AR55" s="178"/>
      <c r="AS55" s="178"/>
      <c r="AT55" s="175"/>
      <c r="AU55" s="175"/>
      <c r="AV55" s="183"/>
      <c r="AW55" s="175"/>
      <c r="AX55" s="176"/>
      <c r="AY55" s="176"/>
      <c r="AZ55" s="176"/>
      <c r="BA55" s="176"/>
      <c r="BB55" s="175"/>
      <c r="BC55" s="175"/>
      <c r="BD55" s="12"/>
      <c r="BE55" s="175"/>
      <c r="BF55" s="12"/>
      <c r="BG55" s="12"/>
      <c r="BH55" s="12"/>
      <c r="BI55" s="183"/>
      <c r="BJ55" s="12"/>
      <c r="BK55" s="176"/>
      <c r="BL55" s="176"/>
      <c r="BM55" s="176"/>
      <c r="BN55" s="176"/>
      <c r="BO55" s="175"/>
      <c r="BP55" s="12"/>
      <c r="BQ55" s="183"/>
      <c r="BR55" s="12"/>
      <c r="BS55" s="176"/>
      <c r="BT55" s="176"/>
      <c r="BU55" s="176"/>
      <c r="BV55" s="176"/>
      <c r="BW55" s="175"/>
      <c r="BY55" s="183"/>
      <c r="BZ55" s="12"/>
      <c r="CA55" s="176"/>
      <c r="CB55" s="176"/>
      <c r="CC55" s="176"/>
      <c r="CD55" s="176"/>
      <c r="CE55" s="175"/>
      <c r="CG55" s="192"/>
      <c r="CI55" s="178"/>
      <c r="CJ55" s="178"/>
      <c r="CK55" s="178"/>
      <c r="CL55" s="178"/>
      <c r="CM55" s="175"/>
      <c r="CO55" s="192"/>
      <c r="CQ55" s="178"/>
      <c r="CR55" s="178"/>
      <c r="CS55" s="178"/>
      <c r="CT55" s="178"/>
      <c r="CU55" s="175"/>
    </row>
    <row r="56" spans="1:99" ht="20.100000000000001" hidden="1" customHeight="1">
      <c r="A56" s="192"/>
      <c r="B56" s="6"/>
      <c r="C56" s="4"/>
      <c r="F56" s="176"/>
      <c r="G56" s="176"/>
      <c r="H56" s="176"/>
      <c r="I56" s="176"/>
      <c r="J56" s="175"/>
      <c r="K56" s="175"/>
      <c r="L56" s="175"/>
      <c r="M56" s="175"/>
      <c r="N56" s="175"/>
      <c r="O56" s="175"/>
      <c r="P56" s="175"/>
      <c r="Q56" s="175"/>
      <c r="R56" s="192"/>
      <c r="T56" s="82"/>
      <c r="U56" s="82"/>
      <c r="V56" s="175"/>
      <c r="W56" s="175"/>
      <c r="X56" s="183"/>
      <c r="Y56" s="175"/>
      <c r="Z56" s="175" t="s">
        <v>141</v>
      </c>
      <c r="AA56" s="189" t="str">
        <f>IF(T50="","",IF(AND(39&lt;T50+1,T50&lt;65),$V$13,""))</f>
        <v/>
      </c>
      <c r="AB56" s="189"/>
      <c r="AC56" s="189"/>
      <c r="AD56" s="175" t="s">
        <v>134</v>
      </c>
      <c r="AF56" s="183"/>
      <c r="AH56" s="188">
        <f>IF(AA56="",0,MAX(ROUNDDOWN((F50-$AP$9)*AA56/100,-2),0,0))</f>
        <v>0</v>
      </c>
      <c r="AI56" s="188"/>
      <c r="AJ56" s="188"/>
      <c r="AK56" s="188"/>
      <c r="AL56" s="175" t="s">
        <v>4</v>
      </c>
      <c r="AN56" s="192"/>
      <c r="AP56" s="188">
        <f>IF(T50="",0,IF($AZ$13&lt;=AH56,$AZ$13-CI56,IF(AH56&lt;$AZ$13,MIN(AH56,$AZ$13-CI56),0)))</f>
        <v>0</v>
      </c>
      <c r="AQ56" s="188"/>
      <c r="AR56" s="188"/>
      <c r="AS56" s="188"/>
      <c r="AT56" s="175" t="s">
        <v>4</v>
      </c>
      <c r="AU56" s="175"/>
      <c r="AV56" s="183"/>
      <c r="AW56" s="175"/>
      <c r="AX56" s="184">
        <f>IF(T50="",0,IF(AND(39&lt;T50+1,T50&lt;65),13600,0))</f>
        <v>0</v>
      </c>
      <c r="AY56" s="184"/>
      <c r="AZ56" s="184"/>
      <c r="BA56" s="184"/>
      <c r="BB56" s="175" t="s">
        <v>4</v>
      </c>
      <c r="BC56" s="175"/>
      <c r="BD56" s="12"/>
      <c r="BE56" s="175"/>
      <c r="BF56" s="12"/>
      <c r="BG56" s="12"/>
      <c r="BH56" s="12"/>
      <c r="BI56" s="183"/>
      <c r="BJ56" s="12"/>
      <c r="BK56" s="184" t="str">
        <f>IF(T50="","",IF(T50&lt;6,ROUNDDOWN(AX56*(1-$BF$23)*0.5,-2),IF(AND(6&lt;=T50+1,T50+1&lt;=18),0,0)))</f>
        <v/>
      </c>
      <c r="BL56" s="184"/>
      <c r="BM56" s="184"/>
      <c r="BN56" s="184"/>
      <c r="BO56" s="175" t="s">
        <v>4</v>
      </c>
      <c r="BP56" s="12"/>
      <c r="BQ56" s="183"/>
      <c r="BR56" s="12"/>
      <c r="BS56" s="184">
        <f>IF(T50="",0,IF(T50&lt;6,0,IF(AND(5&lt;T50+1,T50+1&lt;=18),ROUNDDOWN(AX56*(1-$BF$23)*0.8,-2),0)))</f>
        <v>0</v>
      </c>
      <c r="BT56" s="184"/>
      <c r="BU56" s="184"/>
      <c r="BV56" s="184"/>
      <c r="BW56" s="175" t="s">
        <v>4</v>
      </c>
      <c r="BY56" s="183"/>
      <c r="BZ56" s="12"/>
      <c r="CA56" s="184">
        <f>IF(BS56=0,0,AX56-BS56)</f>
        <v>0</v>
      </c>
      <c r="CB56" s="184"/>
      <c r="CC56" s="184"/>
      <c r="CD56" s="184"/>
      <c r="CE56" s="175" t="s">
        <v>4</v>
      </c>
      <c r="CG56" s="192"/>
      <c r="CI56" s="188">
        <f>IF(T50="",0,IF(T50&lt;6,BK56,IF(AND(6&lt;=T50+1,T50+1&lt;=18),BS56,ROUNDDOWN(AX56*(1-$BF$23),-2))))</f>
        <v>0</v>
      </c>
      <c r="CJ56" s="188"/>
      <c r="CK56" s="188"/>
      <c r="CL56" s="188"/>
      <c r="CM56" s="175" t="s">
        <v>4</v>
      </c>
      <c r="CO56" s="192"/>
      <c r="CQ56" s="188">
        <f>IF(CI56="","",AP56+CI56)</f>
        <v>0</v>
      </c>
      <c r="CR56" s="188"/>
      <c r="CS56" s="188"/>
      <c r="CT56" s="188"/>
      <c r="CU56" s="175" t="s">
        <v>4</v>
      </c>
    </row>
    <row r="57" spans="1:99" ht="6" customHeight="1">
      <c r="A57" s="192"/>
      <c r="B57" s="6"/>
      <c r="C57" s="8"/>
      <c r="D57" s="8"/>
      <c r="E57" s="8"/>
      <c r="F57" s="8"/>
      <c r="G57" s="8"/>
      <c r="H57" s="8"/>
      <c r="I57" s="8"/>
      <c r="J57" s="8"/>
      <c r="K57" s="9"/>
      <c r="L57" s="9"/>
      <c r="M57" s="9"/>
      <c r="N57" s="9"/>
      <c r="O57" s="9"/>
      <c r="P57" s="9"/>
      <c r="Q57" s="9"/>
      <c r="R57" s="192"/>
      <c r="T57" s="8"/>
      <c r="U57" s="8"/>
      <c r="V57" s="8"/>
      <c r="X57" s="183"/>
      <c r="Z57" s="8"/>
      <c r="AA57" s="8"/>
      <c r="AB57" s="8"/>
      <c r="AC57" s="8"/>
      <c r="AD57" s="8"/>
      <c r="AF57" s="183"/>
      <c r="AH57" s="8"/>
      <c r="AI57" s="8"/>
      <c r="AJ57" s="8"/>
      <c r="AK57" s="8"/>
      <c r="AL57" s="8"/>
      <c r="AN57" s="192"/>
      <c r="AP57" s="11"/>
      <c r="AQ57" s="11"/>
      <c r="AR57" s="11"/>
      <c r="AS57" s="11"/>
      <c r="AT57" s="8"/>
      <c r="AV57" s="183"/>
      <c r="AX57" s="11"/>
      <c r="AY57" s="11"/>
      <c r="AZ57" s="11"/>
      <c r="BA57" s="11"/>
      <c r="BB57" s="8"/>
      <c r="BD57" s="12"/>
      <c r="BF57" s="12"/>
      <c r="BG57" s="12"/>
      <c r="BH57" s="12"/>
      <c r="BI57" s="183"/>
      <c r="BJ57" s="12"/>
      <c r="BK57" s="11"/>
      <c r="BL57" s="11"/>
      <c r="BM57" s="11"/>
      <c r="BN57" s="11"/>
      <c r="BO57" s="8"/>
      <c r="BP57" s="12"/>
      <c r="BQ57" s="183"/>
      <c r="BR57" s="12"/>
      <c r="BS57" s="11"/>
      <c r="BT57" s="11"/>
      <c r="BU57" s="11"/>
      <c r="BV57" s="11"/>
      <c r="BW57" s="8"/>
      <c r="BY57" s="183"/>
      <c r="BZ57" s="12"/>
      <c r="CA57" s="11"/>
      <c r="CB57" s="11"/>
      <c r="CC57" s="11"/>
      <c r="CD57" s="11"/>
      <c r="CE57" s="8"/>
      <c r="CG57" s="192"/>
      <c r="CI57" s="11"/>
      <c r="CJ57" s="11"/>
      <c r="CK57" s="11"/>
      <c r="CL57" s="11"/>
      <c r="CM57" s="8"/>
      <c r="CO57" s="192"/>
      <c r="CQ57" s="11"/>
      <c r="CR57" s="11"/>
      <c r="CS57" s="11"/>
      <c r="CT57" s="11"/>
      <c r="CU57" s="8"/>
    </row>
    <row r="58" spans="1:99" ht="6" customHeight="1">
      <c r="A58" s="192"/>
      <c r="B58" s="6"/>
      <c r="C58" s="10"/>
      <c r="D58" s="10"/>
      <c r="E58" s="10"/>
      <c r="F58" s="10"/>
      <c r="G58" s="10"/>
      <c r="H58" s="10"/>
      <c r="I58" s="10"/>
      <c r="J58" s="10"/>
      <c r="K58" s="9"/>
      <c r="L58" s="9"/>
      <c r="M58" s="9"/>
      <c r="N58" s="9"/>
      <c r="O58" s="9"/>
      <c r="P58" s="9"/>
      <c r="Q58" s="9"/>
      <c r="R58" s="192"/>
      <c r="T58" s="10"/>
      <c r="U58" s="10"/>
      <c r="V58" s="10"/>
      <c r="X58" s="183"/>
      <c r="Z58" s="10"/>
      <c r="AA58" s="10"/>
      <c r="AB58" s="10"/>
      <c r="AC58" s="10"/>
      <c r="AD58" s="10"/>
      <c r="AF58" s="183"/>
      <c r="AH58" s="10"/>
      <c r="AI58" s="10"/>
      <c r="AJ58" s="10"/>
      <c r="AK58" s="10"/>
      <c r="AL58" s="10"/>
      <c r="AN58" s="192"/>
      <c r="AP58" s="13"/>
      <c r="AQ58" s="13"/>
      <c r="AR58" s="13"/>
      <c r="AS58" s="13"/>
      <c r="AT58" s="10"/>
      <c r="AV58" s="183"/>
      <c r="AX58" s="13"/>
      <c r="AY58" s="13"/>
      <c r="AZ58" s="13"/>
      <c r="BA58" s="13"/>
      <c r="BB58" s="10"/>
      <c r="BD58" s="12"/>
      <c r="BF58" s="12"/>
      <c r="BG58" s="12"/>
      <c r="BH58" s="12"/>
      <c r="BI58" s="183"/>
      <c r="BJ58" s="12"/>
      <c r="BK58" s="13"/>
      <c r="BL58" s="13"/>
      <c r="BM58" s="13"/>
      <c r="BN58" s="13"/>
      <c r="BO58" s="10"/>
      <c r="BP58" s="12"/>
      <c r="BQ58" s="183"/>
      <c r="BR58" s="12"/>
      <c r="BS58" s="13"/>
      <c r="BT58" s="13"/>
      <c r="BU58" s="13"/>
      <c r="BV58" s="13"/>
      <c r="BW58" s="10"/>
      <c r="BY58" s="183"/>
      <c r="BZ58" s="12"/>
      <c r="CA58" s="13"/>
      <c r="CB58" s="13"/>
      <c r="CC58" s="13"/>
      <c r="CD58" s="13"/>
      <c r="CE58" s="10"/>
      <c r="CG58" s="192"/>
      <c r="CI58" s="13"/>
      <c r="CJ58" s="13"/>
      <c r="CK58" s="13"/>
      <c r="CL58" s="13"/>
      <c r="CM58" s="10"/>
      <c r="CO58" s="192"/>
      <c r="CQ58" s="13"/>
      <c r="CR58" s="13"/>
      <c r="CS58" s="13"/>
      <c r="CT58" s="13"/>
      <c r="CU58" s="10"/>
    </row>
    <row r="59" spans="1:99" ht="20.100000000000001" customHeight="1">
      <c r="A59" s="192"/>
      <c r="B59" s="6"/>
      <c r="C59" s="4" t="s">
        <v>17</v>
      </c>
      <c r="F59" s="193"/>
      <c r="G59" s="193"/>
      <c r="H59" s="193"/>
      <c r="I59" s="193"/>
      <c r="J59" s="175" t="s">
        <v>4</v>
      </c>
      <c r="K59" s="175"/>
      <c r="L59" s="175"/>
      <c r="M59" s="175"/>
      <c r="N59" s="175"/>
      <c r="O59" s="175"/>
      <c r="P59" s="175"/>
      <c r="Q59" s="175"/>
      <c r="R59" s="192"/>
      <c r="T59" s="196"/>
      <c r="U59" s="196"/>
      <c r="V59" s="175" t="s">
        <v>7</v>
      </c>
      <c r="W59" s="175"/>
      <c r="X59" s="183"/>
      <c r="Y59" s="175"/>
      <c r="Z59" s="175" t="s">
        <v>138</v>
      </c>
      <c r="AA59" s="189" t="str">
        <f>IF(T59="","",IF(AND(39&lt;T59+1,T59&lt;65),SUM($V$9:$Y$13),SUM($V$9:$Y$11)))</f>
        <v/>
      </c>
      <c r="AB59" s="189"/>
      <c r="AC59" s="189"/>
      <c r="AD59" s="175" t="s">
        <v>134</v>
      </c>
      <c r="AF59" s="183"/>
      <c r="AH59" s="188">
        <f>IF(AA59="",0,MAX(ROUNDDOWN((F59-$AP$9)*AA59/100,-2),0,0))</f>
        <v>0</v>
      </c>
      <c r="AI59" s="188"/>
      <c r="AJ59" s="188"/>
      <c r="AK59" s="188"/>
      <c r="AL59" s="175" t="s">
        <v>4</v>
      </c>
      <c r="AN59" s="192"/>
      <c r="AP59" s="191">
        <f>IF(T59="",0,MAX(SUM(AP61:AS65,0)))</f>
        <v>0</v>
      </c>
      <c r="AQ59" s="191"/>
      <c r="AR59" s="191"/>
      <c r="AS59" s="191"/>
      <c r="AT59" s="175" t="s">
        <v>4</v>
      </c>
      <c r="AU59" s="175"/>
      <c r="AV59" s="183"/>
      <c r="AW59" s="175"/>
      <c r="AX59" s="184" t="str">
        <f>IF(T59="","",IF(AND(39&lt;T59+1,T59&lt;65),$BM$9+$BM$11+$BM$13,$BM$9+$BM$11))</f>
        <v/>
      </c>
      <c r="AY59" s="184"/>
      <c r="AZ59" s="184"/>
      <c r="BA59" s="184"/>
      <c r="BB59" s="175" t="s">
        <v>4</v>
      </c>
      <c r="BC59" s="175"/>
      <c r="BD59" s="12"/>
      <c r="BE59" s="175"/>
      <c r="BF59" s="12"/>
      <c r="BG59" s="12"/>
      <c r="BH59" s="12"/>
      <c r="BI59" s="183"/>
      <c r="BJ59" s="12"/>
      <c r="BK59" s="184" t="str">
        <f>IF(T59="","",IF(T59&lt;6,ROUNDDOWN(AX59*(1-$BF$23)*0.5,-2),IF(AND(6&lt;=T59+1,T59+1&lt;=18),0,0)))</f>
        <v/>
      </c>
      <c r="BL59" s="184"/>
      <c r="BM59" s="184"/>
      <c r="BN59" s="184"/>
      <c r="BO59" s="175" t="s">
        <v>4</v>
      </c>
      <c r="BP59" s="12"/>
      <c r="BQ59" s="183"/>
      <c r="BR59" s="12"/>
      <c r="BS59" s="184">
        <f>IF(T59="",0,IF(T59&lt;6,0,IF(AND(5&lt;T59+1,T59+1&lt;=18),ROUNDDOWN(AX59*(1-$BF$23)*0.8,-2),0)))</f>
        <v>0</v>
      </c>
      <c r="BT59" s="184"/>
      <c r="BU59" s="184"/>
      <c r="BV59" s="184"/>
      <c r="BW59" s="175" t="s">
        <v>4</v>
      </c>
      <c r="BY59" s="183"/>
      <c r="BZ59" s="12"/>
      <c r="CA59" s="184">
        <f>IF(BS59=0,0,AX59-BS59)</f>
        <v>0</v>
      </c>
      <c r="CB59" s="184"/>
      <c r="CC59" s="184"/>
      <c r="CD59" s="184"/>
      <c r="CE59" s="175" t="s">
        <v>4</v>
      </c>
      <c r="CG59" s="192"/>
      <c r="CI59" s="191">
        <f>IF(T59="",0,IF(T59&lt;6,BK59,IF(AND(6&lt;=T59+1,T59+1&lt;=18),BS59,ROUNDDOWN(AX59*(1-$BF$23),-2))))</f>
        <v>0</v>
      </c>
      <c r="CJ59" s="191"/>
      <c r="CK59" s="191"/>
      <c r="CL59" s="191"/>
      <c r="CM59" s="175" t="s">
        <v>4</v>
      </c>
      <c r="CO59" s="192"/>
      <c r="CQ59" s="191">
        <f>IF(CI59="","",AP59+CI59)</f>
        <v>0</v>
      </c>
      <c r="CR59" s="191"/>
      <c r="CS59" s="191"/>
      <c r="CT59" s="191"/>
      <c r="CU59" s="175" t="s">
        <v>4</v>
      </c>
    </row>
    <row r="60" spans="1:99" ht="6" hidden="1" customHeight="1">
      <c r="A60" s="192"/>
      <c r="B60" s="6"/>
      <c r="C60" s="4"/>
      <c r="F60" s="176"/>
      <c r="G60" s="176"/>
      <c r="H60" s="176"/>
      <c r="I60" s="176"/>
      <c r="J60" s="175"/>
      <c r="K60" s="175"/>
      <c r="L60" s="175"/>
      <c r="M60" s="175"/>
      <c r="N60" s="175"/>
      <c r="O60" s="175"/>
      <c r="P60" s="175"/>
      <c r="Q60" s="175"/>
      <c r="R60" s="192"/>
      <c r="T60" s="82"/>
      <c r="U60" s="82"/>
      <c r="V60" s="175"/>
      <c r="W60" s="175"/>
      <c r="X60" s="183"/>
      <c r="Y60" s="175"/>
      <c r="Z60" s="175"/>
      <c r="AA60" s="177"/>
      <c r="AB60" s="177"/>
      <c r="AC60" s="177"/>
      <c r="AD60" s="175"/>
      <c r="AF60" s="183"/>
      <c r="AH60" s="178"/>
      <c r="AI60" s="178"/>
      <c r="AJ60" s="178"/>
      <c r="AK60" s="178"/>
      <c r="AL60" s="175"/>
      <c r="AN60" s="192"/>
      <c r="AP60" s="178"/>
      <c r="AQ60" s="178"/>
      <c r="AR60" s="178"/>
      <c r="AS60" s="178"/>
      <c r="AT60" s="175"/>
      <c r="AU60" s="175"/>
      <c r="AV60" s="183"/>
      <c r="AW60" s="175"/>
      <c r="AX60" s="176"/>
      <c r="AY60" s="176"/>
      <c r="AZ60" s="176"/>
      <c r="BA60" s="176"/>
      <c r="BB60" s="175"/>
      <c r="BC60" s="175"/>
      <c r="BD60" s="12"/>
      <c r="BE60" s="175"/>
      <c r="BF60" s="12"/>
      <c r="BG60" s="12"/>
      <c r="BH60" s="12"/>
      <c r="BI60" s="183"/>
      <c r="BJ60" s="12"/>
      <c r="BK60" s="176"/>
      <c r="BL60" s="176"/>
      <c r="BM60" s="176"/>
      <c r="BN60" s="176"/>
      <c r="BO60" s="175"/>
      <c r="BP60" s="12"/>
      <c r="BQ60" s="183"/>
      <c r="BR60" s="12"/>
      <c r="BS60" s="176"/>
      <c r="BT60" s="176"/>
      <c r="BU60" s="176"/>
      <c r="BV60" s="176"/>
      <c r="BW60" s="175"/>
      <c r="BY60" s="183"/>
      <c r="BZ60" s="12"/>
      <c r="CA60" s="176"/>
      <c r="CB60" s="176"/>
      <c r="CC60" s="176"/>
      <c r="CD60" s="176"/>
      <c r="CE60" s="175"/>
      <c r="CG60" s="192"/>
      <c r="CI60" s="178"/>
      <c r="CJ60" s="178"/>
      <c r="CK60" s="178"/>
      <c r="CL60" s="178"/>
      <c r="CM60" s="175"/>
      <c r="CO60" s="192"/>
      <c r="CQ60" s="178"/>
      <c r="CR60" s="178"/>
      <c r="CS60" s="178"/>
      <c r="CT60" s="178"/>
      <c r="CU60" s="175"/>
    </row>
    <row r="61" spans="1:99" ht="20.100000000000001" hidden="1" customHeight="1">
      <c r="A61" s="192"/>
      <c r="B61" s="6"/>
      <c r="C61" s="4"/>
      <c r="F61" s="176"/>
      <c r="G61" s="176"/>
      <c r="H61" s="176"/>
      <c r="I61" s="176"/>
      <c r="J61" s="175"/>
      <c r="K61" s="175"/>
      <c r="L61" s="175"/>
      <c r="M61" s="175"/>
      <c r="N61" s="175"/>
      <c r="O61" s="175"/>
      <c r="P61" s="175"/>
      <c r="Q61" s="175"/>
      <c r="R61" s="192"/>
      <c r="T61" s="82"/>
      <c r="U61" s="82"/>
      <c r="V61" s="175"/>
      <c r="W61" s="175"/>
      <c r="X61" s="183"/>
      <c r="Y61" s="175"/>
      <c r="Z61" s="175" t="s">
        <v>139</v>
      </c>
      <c r="AA61" s="189" t="str">
        <f>IF(T59="","",$V$9)</f>
        <v/>
      </c>
      <c r="AB61" s="189"/>
      <c r="AC61" s="189"/>
      <c r="AD61" s="175" t="s">
        <v>134</v>
      </c>
      <c r="AF61" s="183"/>
      <c r="AH61" s="188">
        <f>IF(AA61="",0,MAX(ROUNDDOWN((F59-$AP$9)*AA61/100,-2),0,0))</f>
        <v>0</v>
      </c>
      <c r="AI61" s="188"/>
      <c r="AJ61" s="188"/>
      <c r="AK61" s="188"/>
      <c r="AL61" s="175" t="s">
        <v>4</v>
      </c>
      <c r="AN61" s="192"/>
      <c r="AP61" s="188">
        <f>IF(T59="",0,IF($AZ$9&lt;=AH61,$AZ$9-CI61,IF(AH61&lt;$AZ$9,MIN(AH61,$AZ$9-CI61),0)))</f>
        <v>0</v>
      </c>
      <c r="AQ61" s="188"/>
      <c r="AR61" s="188"/>
      <c r="AS61" s="188"/>
      <c r="AT61" s="175" t="s">
        <v>4</v>
      </c>
      <c r="AU61" s="175"/>
      <c r="AV61" s="183"/>
      <c r="AW61" s="175"/>
      <c r="AX61" s="184">
        <f>$BM$9</f>
        <v>35800</v>
      </c>
      <c r="AY61" s="184"/>
      <c r="AZ61" s="184"/>
      <c r="BA61" s="184"/>
      <c r="BB61" s="175" t="s">
        <v>4</v>
      </c>
      <c r="BC61" s="175"/>
      <c r="BD61" s="12"/>
      <c r="BE61" s="175"/>
      <c r="BF61" s="12"/>
      <c r="BG61" s="12"/>
      <c r="BH61" s="12"/>
      <c r="BI61" s="183"/>
      <c r="BJ61" s="12"/>
      <c r="BK61" s="184" t="str">
        <f>IF(T59="","",IF(T59&lt;6,ROUNDDOWN(AX61*(1-$BF$23)*0.5,-2),IF(AND(6&lt;=T59+1,T59+1&lt;=18),0,0)))</f>
        <v/>
      </c>
      <c r="BL61" s="184"/>
      <c r="BM61" s="184"/>
      <c r="BN61" s="184"/>
      <c r="BO61" s="175" t="s">
        <v>4</v>
      </c>
      <c r="BP61" s="12"/>
      <c r="BQ61" s="183"/>
      <c r="BR61" s="12"/>
      <c r="BS61" s="184">
        <f>IF(T59="",0,IF(T59&lt;6,0,IF(AND(5&lt;T59+1,T59+1&lt;=18),ROUNDDOWN(AX61*(1-$BF$23)*0.8,-2),0)))</f>
        <v>0</v>
      </c>
      <c r="BT61" s="184"/>
      <c r="BU61" s="184"/>
      <c r="BV61" s="184"/>
      <c r="BW61" s="175" t="s">
        <v>4</v>
      </c>
      <c r="BY61" s="183"/>
      <c r="BZ61" s="12"/>
      <c r="CA61" s="184">
        <f>IF(BS61=0,0,AX61-BS61)</f>
        <v>0</v>
      </c>
      <c r="CB61" s="184"/>
      <c r="CC61" s="184"/>
      <c r="CD61" s="184"/>
      <c r="CE61" s="175" t="s">
        <v>4</v>
      </c>
      <c r="CG61" s="192"/>
      <c r="CI61" s="188">
        <f>IF(T59="",0,IF(T59&lt;6,BK61,IF(AND(6&lt;=T59+1,T59+1&lt;=18),BS61,ROUNDDOWN(AX61*(1-$BF$23),-2))))</f>
        <v>0</v>
      </c>
      <c r="CJ61" s="188"/>
      <c r="CK61" s="188"/>
      <c r="CL61" s="188"/>
      <c r="CM61" s="175" t="s">
        <v>4</v>
      </c>
      <c r="CO61" s="192"/>
      <c r="CQ61" s="188">
        <f>IF(CI61="","",AP61+CI61)</f>
        <v>0</v>
      </c>
      <c r="CR61" s="188"/>
      <c r="CS61" s="188"/>
      <c r="CT61" s="188"/>
      <c r="CU61" s="175" t="s">
        <v>4</v>
      </c>
    </row>
    <row r="62" spans="1:99" ht="6" hidden="1" customHeight="1">
      <c r="A62" s="192"/>
      <c r="B62" s="6"/>
      <c r="C62" s="4"/>
      <c r="F62" s="176"/>
      <c r="G62" s="176"/>
      <c r="H62" s="176"/>
      <c r="I62" s="176"/>
      <c r="J62" s="175"/>
      <c r="K62" s="175"/>
      <c r="L62" s="175"/>
      <c r="M62" s="175"/>
      <c r="N62" s="175"/>
      <c r="O62" s="175"/>
      <c r="P62" s="175"/>
      <c r="Q62" s="175"/>
      <c r="R62" s="192"/>
      <c r="T62" s="82"/>
      <c r="U62" s="82"/>
      <c r="V62" s="175"/>
      <c r="W62" s="175"/>
      <c r="X62" s="183"/>
      <c r="Y62" s="175"/>
      <c r="Z62" s="175"/>
      <c r="AA62" s="177"/>
      <c r="AB62" s="177"/>
      <c r="AC62" s="177"/>
      <c r="AD62" s="175"/>
      <c r="AF62" s="183"/>
      <c r="AH62" s="178"/>
      <c r="AI62" s="178"/>
      <c r="AJ62" s="178"/>
      <c r="AK62" s="178"/>
      <c r="AL62" s="175"/>
      <c r="AN62" s="192"/>
      <c r="AP62" s="178"/>
      <c r="AQ62" s="178"/>
      <c r="AR62" s="178"/>
      <c r="AS62" s="178"/>
      <c r="AT62" s="175"/>
      <c r="AU62" s="175"/>
      <c r="AV62" s="183"/>
      <c r="AW62" s="175"/>
      <c r="AX62" s="176"/>
      <c r="AY62" s="176"/>
      <c r="AZ62" s="176"/>
      <c r="BA62" s="176"/>
      <c r="BB62" s="175"/>
      <c r="BC62" s="175"/>
      <c r="BD62" s="12"/>
      <c r="BE62" s="175"/>
      <c r="BF62" s="12"/>
      <c r="BG62" s="12"/>
      <c r="BH62" s="12"/>
      <c r="BI62" s="183"/>
      <c r="BJ62" s="12"/>
      <c r="BK62" s="176"/>
      <c r="BL62" s="176"/>
      <c r="BM62" s="176"/>
      <c r="BN62" s="176"/>
      <c r="BO62" s="175"/>
      <c r="BP62" s="12"/>
      <c r="BQ62" s="183"/>
      <c r="BR62" s="12"/>
      <c r="BS62" s="176"/>
      <c r="BT62" s="176"/>
      <c r="BU62" s="176"/>
      <c r="BV62" s="176"/>
      <c r="BW62" s="175"/>
      <c r="BY62" s="183"/>
      <c r="BZ62" s="12"/>
      <c r="CA62" s="176"/>
      <c r="CB62" s="176"/>
      <c r="CC62" s="176"/>
      <c r="CD62" s="176"/>
      <c r="CE62" s="175"/>
      <c r="CG62" s="192"/>
      <c r="CI62" s="178"/>
      <c r="CJ62" s="178"/>
      <c r="CK62" s="178"/>
      <c r="CL62" s="178"/>
      <c r="CM62" s="175"/>
      <c r="CO62" s="192"/>
      <c r="CQ62" s="178"/>
      <c r="CR62" s="178"/>
      <c r="CS62" s="178"/>
      <c r="CT62" s="178"/>
      <c r="CU62" s="175"/>
    </row>
    <row r="63" spans="1:99" ht="20.100000000000001" hidden="1" customHeight="1">
      <c r="A63" s="192"/>
      <c r="B63" s="6"/>
      <c r="C63" s="4"/>
      <c r="F63" s="176"/>
      <c r="G63" s="176"/>
      <c r="H63" s="176"/>
      <c r="I63" s="176"/>
      <c r="J63" s="175"/>
      <c r="K63" s="175"/>
      <c r="L63" s="175"/>
      <c r="M63" s="175"/>
      <c r="N63" s="175"/>
      <c r="O63" s="175"/>
      <c r="P63" s="175"/>
      <c r="Q63" s="175"/>
      <c r="R63" s="192"/>
      <c r="T63" s="82"/>
      <c r="U63" s="82"/>
      <c r="V63" s="175"/>
      <c r="W63" s="175"/>
      <c r="X63" s="183"/>
      <c r="Y63" s="175"/>
      <c r="Z63" s="175" t="s">
        <v>140</v>
      </c>
      <c r="AA63" s="189" t="str">
        <f>IF(T59="","",$V$11)</f>
        <v/>
      </c>
      <c r="AB63" s="189"/>
      <c r="AC63" s="189"/>
      <c r="AD63" s="175" t="s">
        <v>134</v>
      </c>
      <c r="AF63" s="183"/>
      <c r="AH63" s="188">
        <f>IF(AA63="",0,MAX(ROUNDDOWN((F59-$AP$9)*AA63/100,-2),0,0))</f>
        <v>0</v>
      </c>
      <c r="AI63" s="188"/>
      <c r="AJ63" s="188"/>
      <c r="AK63" s="188"/>
      <c r="AL63" s="175" t="s">
        <v>4</v>
      </c>
      <c r="AN63" s="192"/>
      <c r="AP63" s="188">
        <f>IF(T59="",0,IF($AZ$11&lt;=AH63,$AZ$11-CI63,IF(AH63&lt;$AZ$11,MIN(AH63,$AZ$11-CI63),0)))</f>
        <v>0</v>
      </c>
      <c r="AQ63" s="188"/>
      <c r="AR63" s="188"/>
      <c r="AS63" s="188"/>
      <c r="AT63" s="175" t="s">
        <v>4</v>
      </c>
      <c r="AU63" s="175"/>
      <c r="AV63" s="183"/>
      <c r="AW63" s="175"/>
      <c r="AX63" s="184">
        <f>$BM$11</f>
        <v>15700</v>
      </c>
      <c r="AY63" s="184"/>
      <c r="AZ63" s="184"/>
      <c r="BA63" s="184"/>
      <c r="BB63" s="175" t="s">
        <v>4</v>
      </c>
      <c r="BC63" s="175"/>
      <c r="BD63" s="12"/>
      <c r="BE63" s="175"/>
      <c r="BF63" s="12"/>
      <c r="BG63" s="12"/>
      <c r="BH63" s="12"/>
      <c r="BI63" s="183"/>
      <c r="BJ63" s="12"/>
      <c r="BK63" s="184" t="str">
        <f>IF(T59="","",IF(T59&lt;6,ROUNDDOWN(AX63*(1-$BF$23)*0.5,-2),IF(AND(6&lt;=T59+1,T59+1&lt;=18),0,0)))</f>
        <v/>
      </c>
      <c r="BL63" s="184"/>
      <c r="BM63" s="184"/>
      <c r="BN63" s="184"/>
      <c r="BO63" s="175" t="s">
        <v>4</v>
      </c>
      <c r="BP63" s="12"/>
      <c r="BQ63" s="183"/>
      <c r="BR63" s="12"/>
      <c r="BS63" s="184">
        <f>IF(T59="",0,IF(T59&lt;6,0,IF(AND(5&lt;T59+1,T59+1&lt;=18),ROUNDDOWN(AX63*(1-$BF$23)*0.8,-2),0)))</f>
        <v>0</v>
      </c>
      <c r="BT63" s="184"/>
      <c r="BU63" s="184"/>
      <c r="BV63" s="184"/>
      <c r="BW63" s="175" t="s">
        <v>4</v>
      </c>
      <c r="BY63" s="183"/>
      <c r="BZ63" s="12"/>
      <c r="CA63" s="184">
        <f>IF(BS63=0,0,AX63-BS63)</f>
        <v>0</v>
      </c>
      <c r="CB63" s="184"/>
      <c r="CC63" s="184"/>
      <c r="CD63" s="184"/>
      <c r="CE63" s="175" t="s">
        <v>4</v>
      </c>
      <c r="CG63" s="192"/>
      <c r="CI63" s="188">
        <f>IF(T59="",0,IF(T59&lt;6,BK63,IF(AND(6&lt;=T59+1,T59+1&lt;=18),BS63,ROUNDDOWN(AX63*(1-$BF$23),-2))))</f>
        <v>0</v>
      </c>
      <c r="CJ63" s="188"/>
      <c r="CK63" s="188"/>
      <c r="CL63" s="188"/>
      <c r="CM63" s="175" t="s">
        <v>4</v>
      </c>
      <c r="CO63" s="192"/>
      <c r="CQ63" s="188">
        <f>IF(CI63="","",AP63+CI63)</f>
        <v>0</v>
      </c>
      <c r="CR63" s="188"/>
      <c r="CS63" s="188"/>
      <c r="CT63" s="188"/>
      <c r="CU63" s="175" t="s">
        <v>4</v>
      </c>
    </row>
    <row r="64" spans="1:99" ht="6" hidden="1" customHeight="1">
      <c r="A64" s="192"/>
      <c r="B64" s="6"/>
      <c r="C64" s="4"/>
      <c r="F64" s="176"/>
      <c r="G64" s="176"/>
      <c r="H64" s="176"/>
      <c r="I64" s="176"/>
      <c r="J64" s="175"/>
      <c r="K64" s="175"/>
      <c r="L64" s="175"/>
      <c r="M64" s="175"/>
      <c r="N64" s="175"/>
      <c r="O64" s="175"/>
      <c r="P64" s="175"/>
      <c r="Q64" s="175"/>
      <c r="R64" s="192"/>
      <c r="T64" s="82"/>
      <c r="U64" s="82"/>
      <c r="V64" s="175"/>
      <c r="W64" s="175"/>
      <c r="X64" s="183"/>
      <c r="Y64" s="175"/>
      <c r="Z64" s="175"/>
      <c r="AA64" s="177"/>
      <c r="AB64" s="177"/>
      <c r="AC64" s="177"/>
      <c r="AD64" s="175"/>
      <c r="AF64" s="183"/>
      <c r="AH64" s="178"/>
      <c r="AI64" s="178"/>
      <c r="AJ64" s="178"/>
      <c r="AK64" s="178"/>
      <c r="AL64" s="175"/>
      <c r="AN64" s="192"/>
      <c r="AP64" s="178"/>
      <c r="AQ64" s="178"/>
      <c r="AR64" s="178"/>
      <c r="AS64" s="178"/>
      <c r="AT64" s="175"/>
      <c r="AU64" s="175"/>
      <c r="AV64" s="183"/>
      <c r="AW64" s="175"/>
      <c r="AX64" s="176"/>
      <c r="AY64" s="176"/>
      <c r="AZ64" s="176"/>
      <c r="BA64" s="176"/>
      <c r="BB64" s="175"/>
      <c r="BC64" s="175"/>
      <c r="BD64" s="12"/>
      <c r="BE64" s="175"/>
      <c r="BF64" s="12"/>
      <c r="BG64" s="12"/>
      <c r="BH64" s="12"/>
      <c r="BI64" s="183"/>
      <c r="BJ64" s="12"/>
      <c r="BK64" s="176"/>
      <c r="BL64" s="176"/>
      <c r="BM64" s="176"/>
      <c r="BN64" s="176"/>
      <c r="BO64" s="175"/>
      <c r="BP64" s="12"/>
      <c r="BQ64" s="183"/>
      <c r="BR64" s="12"/>
      <c r="BS64" s="176"/>
      <c r="BT64" s="176"/>
      <c r="BU64" s="176"/>
      <c r="BV64" s="176"/>
      <c r="BW64" s="175"/>
      <c r="BY64" s="183"/>
      <c r="BZ64" s="12"/>
      <c r="CA64" s="176"/>
      <c r="CB64" s="176"/>
      <c r="CC64" s="176"/>
      <c r="CD64" s="176"/>
      <c r="CE64" s="175"/>
      <c r="CG64" s="192"/>
      <c r="CI64" s="178"/>
      <c r="CJ64" s="178"/>
      <c r="CK64" s="178"/>
      <c r="CL64" s="178"/>
      <c r="CM64" s="175"/>
      <c r="CO64" s="192"/>
      <c r="CQ64" s="178"/>
      <c r="CR64" s="178"/>
      <c r="CS64" s="178"/>
      <c r="CT64" s="178"/>
      <c r="CU64" s="175"/>
    </row>
    <row r="65" spans="1:99" ht="20.100000000000001" hidden="1" customHeight="1">
      <c r="A65" s="192"/>
      <c r="B65" s="6"/>
      <c r="C65" s="4"/>
      <c r="F65" s="176"/>
      <c r="G65" s="176"/>
      <c r="H65" s="176"/>
      <c r="I65" s="176"/>
      <c r="J65" s="175"/>
      <c r="K65" s="175"/>
      <c r="L65" s="175"/>
      <c r="M65" s="175"/>
      <c r="N65" s="175"/>
      <c r="O65" s="175"/>
      <c r="P65" s="175"/>
      <c r="Q65" s="175"/>
      <c r="R65" s="192"/>
      <c r="T65" s="82"/>
      <c r="U65" s="82"/>
      <c r="V65" s="175"/>
      <c r="W65" s="175"/>
      <c r="X65" s="183"/>
      <c r="Y65" s="175"/>
      <c r="Z65" s="175" t="s">
        <v>141</v>
      </c>
      <c r="AA65" s="189" t="str">
        <f>IF(T59="","",IF(AND(39&lt;T59+1,T59&lt;65),$V$13,""))</f>
        <v/>
      </c>
      <c r="AB65" s="189"/>
      <c r="AC65" s="189"/>
      <c r="AD65" s="175" t="s">
        <v>134</v>
      </c>
      <c r="AF65" s="183"/>
      <c r="AH65" s="188">
        <f>IF(AA65="",0,MAX(ROUNDDOWN((F59-$AP$9)*AA65/100,-2),0,0))</f>
        <v>0</v>
      </c>
      <c r="AI65" s="188"/>
      <c r="AJ65" s="188"/>
      <c r="AK65" s="188"/>
      <c r="AL65" s="175" t="s">
        <v>4</v>
      </c>
      <c r="AN65" s="192"/>
      <c r="AP65" s="188">
        <f>IF(T59="",0,IF($AZ$13&lt;=AH65,$AZ$13-CI65,IF(AH65&lt;$AZ$13,MIN(AH65,$AZ$13-CI65),0)))</f>
        <v>0</v>
      </c>
      <c r="AQ65" s="188"/>
      <c r="AR65" s="188"/>
      <c r="AS65" s="188"/>
      <c r="AT65" s="175" t="s">
        <v>4</v>
      </c>
      <c r="AU65" s="175"/>
      <c r="AV65" s="183"/>
      <c r="AW65" s="175"/>
      <c r="AX65" s="184">
        <f>IF(T59="",0,IF(AND(39&lt;T59+1,T59&lt;65),13600,0))</f>
        <v>0</v>
      </c>
      <c r="AY65" s="184"/>
      <c r="AZ65" s="184"/>
      <c r="BA65" s="184"/>
      <c r="BB65" s="175" t="s">
        <v>4</v>
      </c>
      <c r="BC65" s="175"/>
      <c r="BD65" s="12"/>
      <c r="BE65" s="175"/>
      <c r="BF65" s="12"/>
      <c r="BG65" s="12"/>
      <c r="BH65" s="12"/>
      <c r="BI65" s="183"/>
      <c r="BJ65" s="12"/>
      <c r="BK65" s="184" t="str">
        <f>IF(T59="","",IF(T59&lt;6,ROUNDDOWN(AX65*(1-$BF$23)*0.5,-2),IF(AND(6&lt;=T59+1,T59+1&lt;=18),0,0)))</f>
        <v/>
      </c>
      <c r="BL65" s="184"/>
      <c r="BM65" s="184"/>
      <c r="BN65" s="184"/>
      <c r="BO65" s="175" t="s">
        <v>4</v>
      </c>
      <c r="BP65" s="12"/>
      <c r="BQ65" s="183"/>
      <c r="BR65" s="12"/>
      <c r="BS65" s="184">
        <f>IF(T59="",0,IF(T59&lt;6,0,IF(AND(5&lt;T59+1,T59+1&lt;=18),ROUNDDOWN(AX65*(1-$BF$23)*0.8,-2),0)))</f>
        <v>0</v>
      </c>
      <c r="BT65" s="184"/>
      <c r="BU65" s="184"/>
      <c r="BV65" s="184"/>
      <c r="BW65" s="175" t="s">
        <v>4</v>
      </c>
      <c r="BY65" s="183"/>
      <c r="BZ65" s="12"/>
      <c r="CA65" s="184">
        <f>IF(BS65=0,0,AX65-BS65)</f>
        <v>0</v>
      </c>
      <c r="CB65" s="184"/>
      <c r="CC65" s="184"/>
      <c r="CD65" s="184"/>
      <c r="CE65" s="175" t="s">
        <v>4</v>
      </c>
      <c r="CG65" s="192"/>
      <c r="CI65" s="188">
        <f>IF(T59="",0,IF(T59&lt;6,BK65,IF(AND(6&lt;=T59+1,T59+1&lt;=18),BS65,ROUNDDOWN(AX65*(1-$BF$23),-2))))</f>
        <v>0</v>
      </c>
      <c r="CJ65" s="188"/>
      <c r="CK65" s="188"/>
      <c r="CL65" s="188"/>
      <c r="CM65" s="175" t="s">
        <v>4</v>
      </c>
      <c r="CO65" s="192"/>
      <c r="CQ65" s="188">
        <f>IF(CI65="","",AP65+CI65)</f>
        <v>0</v>
      </c>
      <c r="CR65" s="188"/>
      <c r="CS65" s="188"/>
      <c r="CT65" s="188"/>
      <c r="CU65" s="175" t="s">
        <v>4</v>
      </c>
    </row>
    <row r="66" spans="1:99" ht="6" customHeight="1">
      <c r="A66" s="192"/>
      <c r="B66" s="6"/>
      <c r="C66" s="8"/>
      <c r="D66" s="8"/>
      <c r="E66" s="8"/>
      <c r="F66" s="8"/>
      <c r="G66" s="8"/>
      <c r="H66" s="8"/>
      <c r="I66" s="8"/>
      <c r="J66" s="8"/>
      <c r="K66" s="9"/>
      <c r="L66" s="9"/>
      <c r="M66" s="9"/>
      <c r="N66" s="9"/>
      <c r="O66" s="9"/>
      <c r="P66" s="9"/>
      <c r="Q66" s="9"/>
      <c r="R66" s="192"/>
      <c r="T66" s="8"/>
      <c r="U66" s="8"/>
      <c r="V66" s="8"/>
      <c r="X66" s="183"/>
      <c r="Z66" s="8"/>
      <c r="AA66" s="8"/>
      <c r="AB66" s="8"/>
      <c r="AC66" s="8"/>
      <c r="AD66" s="8"/>
      <c r="AF66" s="183"/>
      <c r="AH66" s="8"/>
      <c r="AI66" s="8"/>
      <c r="AJ66" s="8"/>
      <c r="AK66" s="8"/>
      <c r="AL66" s="8"/>
      <c r="AN66" s="192"/>
      <c r="AP66" s="11"/>
      <c r="AQ66" s="11"/>
      <c r="AR66" s="11"/>
      <c r="AS66" s="11"/>
      <c r="AT66" s="8"/>
      <c r="AV66" s="183"/>
      <c r="AX66" s="11"/>
      <c r="AY66" s="11"/>
      <c r="AZ66" s="11"/>
      <c r="BA66" s="11"/>
      <c r="BB66" s="8"/>
      <c r="BD66" s="12"/>
      <c r="BF66" s="12"/>
      <c r="BG66" s="12"/>
      <c r="BH66" s="12"/>
      <c r="BI66" s="183"/>
      <c r="BJ66" s="12"/>
      <c r="BK66" s="11"/>
      <c r="BL66" s="11"/>
      <c r="BM66" s="11"/>
      <c r="BN66" s="11"/>
      <c r="BO66" s="8"/>
      <c r="BP66" s="12"/>
      <c r="BQ66" s="183"/>
      <c r="BR66" s="12"/>
      <c r="BS66" s="11"/>
      <c r="BT66" s="11"/>
      <c r="BU66" s="11"/>
      <c r="BV66" s="11"/>
      <c r="BW66" s="8"/>
      <c r="BY66" s="183"/>
      <c r="BZ66" s="12"/>
      <c r="CA66" s="11"/>
      <c r="CB66" s="11"/>
      <c r="CC66" s="11"/>
      <c r="CD66" s="11"/>
      <c r="CE66" s="8"/>
      <c r="CG66" s="192"/>
      <c r="CI66" s="11"/>
      <c r="CJ66" s="11"/>
      <c r="CK66" s="11"/>
      <c r="CL66" s="11"/>
      <c r="CM66" s="8"/>
      <c r="CO66" s="192"/>
      <c r="CQ66" s="11"/>
      <c r="CR66" s="11"/>
      <c r="CS66" s="11"/>
      <c r="CT66" s="11"/>
      <c r="CU66" s="8"/>
    </row>
    <row r="67" spans="1:99" ht="6" customHeight="1">
      <c r="A67" s="192"/>
      <c r="B67" s="6"/>
      <c r="C67" s="10"/>
      <c r="D67" s="10"/>
      <c r="E67" s="10"/>
      <c r="F67" s="10"/>
      <c r="G67" s="10"/>
      <c r="H67" s="10"/>
      <c r="I67" s="10"/>
      <c r="J67" s="10"/>
      <c r="K67" s="9"/>
      <c r="L67" s="9"/>
      <c r="M67" s="9"/>
      <c r="N67" s="9"/>
      <c r="O67" s="9"/>
      <c r="P67" s="9"/>
      <c r="Q67" s="9"/>
      <c r="R67" s="192"/>
      <c r="T67" s="10"/>
      <c r="U67" s="10"/>
      <c r="V67" s="10"/>
      <c r="X67" s="183"/>
      <c r="Z67" s="10"/>
      <c r="AA67" s="10"/>
      <c r="AB67" s="10"/>
      <c r="AC67" s="10"/>
      <c r="AD67" s="10"/>
      <c r="AF67" s="183"/>
      <c r="AH67" s="10"/>
      <c r="AI67" s="10"/>
      <c r="AJ67" s="10"/>
      <c r="AK67" s="10"/>
      <c r="AL67" s="10"/>
      <c r="AN67" s="192"/>
      <c r="AP67" s="13"/>
      <c r="AQ67" s="13"/>
      <c r="AR67" s="13"/>
      <c r="AS67" s="13"/>
      <c r="AT67" s="10"/>
      <c r="AV67" s="183"/>
      <c r="AX67" s="13"/>
      <c r="AY67" s="13"/>
      <c r="AZ67" s="13"/>
      <c r="BA67" s="13"/>
      <c r="BB67" s="10"/>
      <c r="BD67" s="12"/>
      <c r="BF67" s="12"/>
      <c r="BG67" s="12"/>
      <c r="BH67" s="12"/>
      <c r="BI67" s="183"/>
      <c r="BJ67" s="12"/>
      <c r="BK67" s="13"/>
      <c r="BL67" s="13"/>
      <c r="BM67" s="13"/>
      <c r="BN67" s="13"/>
      <c r="BO67" s="10"/>
      <c r="BP67" s="12"/>
      <c r="BQ67" s="183"/>
      <c r="BR67" s="12"/>
      <c r="BS67" s="13"/>
      <c r="BT67" s="13"/>
      <c r="BU67" s="13"/>
      <c r="BV67" s="13"/>
      <c r="BW67" s="10"/>
      <c r="BY67" s="183"/>
      <c r="BZ67" s="12"/>
      <c r="CA67" s="13"/>
      <c r="CB67" s="13"/>
      <c r="CC67" s="13"/>
      <c r="CD67" s="13"/>
      <c r="CE67" s="10"/>
      <c r="CG67" s="192"/>
      <c r="CI67" s="13"/>
      <c r="CJ67" s="13"/>
      <c r="CK67" s="13"/>
      <c r="CL67" s="13"/>
      <c r="CM67" s="10"/>
      <c r="CO67" s="192"/>
      <c r="CQ67" s="13"/>
      <c r="CR67" s="13"/>
      <c r="CS67" s="13"/>
      <c r="CT67" s="13"/>
      <c r="CU67" s="10"/>
    </row>
    <row r="68" spans="1:99" ht="20.100000000000001" customHeight="1">
      <c r="A68" s="192"/>
      <c r="B68" s="6"/>
      <c r="C68" s="4" t="s">
        <v>18</v>
      </c>
      <c r="F68" s="193"/>
      <c r="G68" s="193"/>
      <c r="H68" s="193"/>
      <c r="I68" s="193"/>
      <c r="J68" s="175" t="s">
        <v>4</v>
      </c>
      <c r="K68" s="175"/>
      <c r="L68" s="175"/>
      <c r="M68" s="175"/>
      <c r="N68" s="175"/>
      <c r="O68" s="175"/>
      <c r="P68" s="175"/>
      <c r="Q68" s="175"/>
      <c r="R68" s="192"/>
      <c r="T68" s="196"/>
      <c r="U68" s="196"/>
      <c r="V68" s="175" t="s">
        <v>7</v>
      </c>
      <c r="W68" s="175"/>
      <c r="X68" s="183"/>
      <c r="Y68" s="175"/>
      <c r="Z68" s="175" t="s">
        <v>138</v>
      </c>
      <c r="AA68" s="189" t="str">
        <f>IF(T68="","",IF(AND(39&lt;T68+1,T68&lt;65),SUM($V$9:$Y$13),SUM($V$9:$Y$11)))</f>
        <v/>
      </c>
      <c r="AB68" s="189"/>
      <c r="AC68" s="189"/>
      <c r="AD68" s="175" t="s">
        <v>134</v>
      </c>
      <c r="AF68" s="183"/>
      <c r="AH68" s="188">
        <f>IF(AA68="",0,MAX(ROUNDDOWN((F68-$AP$9)*AA68/100,-2),0,0))</f>
        <v>0</v>
      </c>
      <c r="AI68" s="188"/>
      <c r="AJ68" s="188"/>
      <c r="AK68" s="188"/>
      <c r="AL68" s="175" t="s">
        <v>4</v>
      </c>
      <c r="AN68" s="192"/>
      <c r="AP68" s="191">
        <f>IF(T68="",0,MAX(SUM(AP70:AS74,0)))</f>
        <v>0</v>
      </c>
      <c r="AQ68" s="191"/>
      <c r="AR68" s="191"/>
      <c r="AS68" s="191"/>
      <c r="AT68" s="175" t="s">
        <v>4</v>
      </c>
      <c r="AU68" s="175"/>
      <c r="AV68" s="183"/>
      <c r="AW68" s="175"/>
      <c r="AX68" s="184" t="str">
        <f>IF(T68="","",IF(AND(39&lt;T68+1,T68&lt;65),$BM$9+$BM$11+$BM$13,$BM$9+$BM$11))</f>
        <v/>
      </c>
      <c r="AY68" s="184"/>
      <c r="AZ68" s="184"/>
      <c r="BA68" s="184"/>
      <c r="BB68" s="175" t="s">
        <v>4</v>
      </c>
      <c r="BC68" s="175"/>
      <c r="BD68" s="12"/>
      <c r="BE68" s="175"/>
      <c r="BF68" s="12"/>
      <c r="BG68" s="12"/>
      <c r="BH68" s="12"/>
      <c r="BI68" s="183"/>
      <c r="BJ68" s="12"/>
      <c r="BK68" s="184" t="str">
        <f>IF(T68="","",IF(T68&lt;6,ROUNDDOWN(AX68*(1-$BF$23)*0.5,-2),IF(AND(6&lt;=T68+1,T68+1&lt;=18),0,0)))</f>
        <v/>
      </c>
      <c r="BL68" s="184"/>
      <c r="BM68" s="184"/>
      <c r="BN68" s="184"/>
      <c r="BO68" s="175" t="s">
        <v>4</v>
      </c>
      <c r="BP68" s="12"/>
      <c r="BQ68" s="183"/>
      <c r="BR68" s="12"/>
      <c r="BS68" s="184">
        <f>IF(T68="",0,IF(T68&lt;6,0,IF(AND(5&lt;T68+1,T68+1&lt;=18),ROUNDDOWN(AX68*(1-$BF$23)*0.8,-2),0)))</f>
        <v>0</v>
      </c>
      <c r="BT68" s="184"/>
      <c r="BU68" s="184"/>
      <c r="BV68" s="184"/>
      <c r="BW68" s="175" t="s">
        <v>4</v>
      </c>
      <c r="BY68" s="183"/>
      <c r="BZ68" s="12"/>
      <c r="CA68" s="184">
        <f>IF(BS68=0,0,AX68-BS68)</f>
        <v>0</v>
      </c>
      <c r="CB68" s="184"/>
      <c r="CC68" s="184"/>
      <c r="CD68" s="184"/>
      <c r="CE68" s="175" t="s">
        <v>4</v>
      </c>
      <c r="CG68" s="192"/>
      <c r="CI68" s="191">
        <f>IF(T68="",0,IF(T68&lt;6,BK68,IF(AND(6&lt;=T68+1,T68+1&lt;=18),BS68,ROUNDDOWN(AX68*(1-$BF$23),-2))))</f>
        <v>0</v>
      </c>
      <c r="CJ68" s="191"/>
      <c r="CK68" s="191"/>
      <c r="CL68" s="191"/>
      <c r="CM68" s="175" t="s">
        <v>4</v>
      </c>
      <c r="CO68" s="192"/>
      <c r="CQ68" s="191">
        <f>IF(CI68="","",AP68+CI68)</f>
        <v>0</v>
      </c>
      <c r="CR68" s="191"/>
      <c r="CS68" s="191"/>
      <c r="CT68" s="191"/>
      <c r="CU68" s="175" t="s">
        <v>4</v>
      </c>
    </row>
    <row r="69" spans="1:99" ht="6" hidden="1" customHeight="1">
      <c r="A69" s="192"/>
      <c r="B69" s="6"/>
      <c r="C69" s="4"/>
      <c r="F69" s="176"/>
      <c r="G69" s="176"/>
      <c r="H69" s="176"/>
      <c r="I69" s="176"/>
      <c r="J69" s="175"/>
      <c r="K69" s="175"/>
      <c r="L69" s="175"/>
      <c r="M69" s="175"/>
      <c r="N69" s="175"/>
      <c r="O69" s="175"/>
      <c r="P69" s="175"/>
      <c r="Q69" s="175"/>
      <c r="R69" s="192"/>
      <c r="T69" s="82"/>
      <c r="U69" s="82"/>
      <c r="V69" s="175"/>
      <c r="W69" s="175"/>
      <c r="X69" s="183"/>
      <c r="Y69" s="175"/>
      <c r="Z69" s="175"/>
      <c r="AA69" s="177"/>
      <c r="AB69" s="177"/>
      <c r="AC69" s="177"/>
      <c r="AD69" s="175"/>
      <c r="AF69" s="183"/>
      <c r="AH69" s="178"/>
      <c r="AI69" s="178"/>
      <c r="AJ69" s="178"/>
      <c r="AK69" s="178"/>
      <c r="AL69" s="175"/>
      <c r="AN69" s="192"/>
      <c r="AP69" s="178"/>
      <c r="AQ69" s="178"/>
      <c r="AR69" s="178"/>
      <c r="AS69" s="178"/>
      <c r="AT69" s="175"/>
      <c r="AU69" s="175"/>
      <c r="AV69" s="183"/>
      <c r="AW69" s="175"/>
      <c r="AX69" s="176"/>
      <c r="AY69" s="176"/>
      <c r="AZ69" s="176"/>
      <c r="BA69" s="176"/>
      <c r="BB69" s="175"/>
      <c r="BC69" s="175"/>
      <c r="BD69" s="12"/>
      <c r="BE69" s="175"/>
      <c r="BF69" s="12"/>
      <c r="BG69" s="12"/>
      <c r="BH69" s="12"/>
      <c r="BI69" s="183"/>
      <c r="BJ69" s="12"/>
      <c r="BK69" s="176"/>
      <c r="BL69" s="176"/>
      <c r="BM69" s="176"/>
      <c r="BN69" s="176"/>
      <c r="BO69" s="175"/>
      <c r="BP69" s="12"/>
      <c r="BQ69" s="183"/>
      <c r="BR69" s="12"/>
      <c r="BS69" s="176"/>
      <c r="BT69" s="176"/>
      <c r="BU69" s="176"/>
      <c r="BV69" s="176"/>
      <c r="BW69" s="175"/>
      <c r="BY69" s="183"/>
      <c r="BZ69" s="12"/>
      <c r="CA69" s="176"/>
      <c r="CB69" s="176"/>
      <c r="CC69" s="176"/>
      <c r="CD69" s="176"/>
      <c r="CE69" s="175"/>
      <c r="CG69" s="192"/>
      <c r="CI69" s="178"/>
      <c r="CJ69" s="178"/>
      <c r="CK69" s="178"/>
      <c r="CL69" s="178"/>
      <c r="CM69" s="175"/>
      <c r="CO69" s="192"/>
      <c r="CQ69" s="178"/>
      <c r="CR69" s="178"/>
      <c r="CS69" s="178"/>
      <c r="CT69" s="178"/>
      <c r="CU69" s="175"/>
    </row>
    <row r="70" spans="1:99" ht="20.100000000000001" hidden="1" customHeight="1">
      <c r="A70" s="192"/>
      <c r="B70" s="6"/>
      <c r="C70" s="4"/>
      <c r="F70" s="176"/>
      <c r="G70" s="176"/>
      <c r="H70" s="176"/>
      <c r="I70" s="176"/>
      <c r="J70" s="175"/>
      <c r="K70" s="175"/>
      <c r="L70" s="175"/>
      <c r="M70" s="175"/>
      <c r="N70" s="175"/>
      <c r="O70" s="175"/>
      <c r="P70" s="175"/>
      <c r="Q70" s="175"/>
      <c r="R70" s="192"/>
      <c r="T70" s="82"/>
      <c r="U70" s="82"/>
      <c r="V70" s="175"/>
      <c r="W70" s="175"/>
      <c r="X70" s="183"/>
      <c r="Y70" s="175"/>
      <c r="Z70" s="175" t="s">
        <v>139</v>
      </c>
      <c r="AA70" s="189" t="str">
        <f>IF(T68="","",$V$9)</f>
        <v/>
      </c>
      <c r="AB70" s="189"/>
      <c r="AC70" s="189"/>
      <c r="AD70" s="175" t="s">
        <v>134</v>
      </c>
      <c r="AF70" s="183"/>
      <c r="AH70" s="188">
        <f>IF(AA70="",0,MAX(ROUNDDOWN((F68-$AP$9)*AA70/100,-2),0,0))</f>
        <v>0</v>
      </c>
      <c r="AI70" s="188"/>
      <c r="AJ70" s="188"/>
      <c r="AK70" s="188"/>
      <c r="AL70" s="175" t="s">
        <v>4</v>
      </c>
      <c r="AN70" s="192"/>
      <c r="AP70" s="188">
        <f>IF(T68="",0,IF($AZ$9&lt;=AH70,$AZ$9-CI70,IF(AH70&lt;$AZ$9,MIN(AH70,$AZ$9-CI70),0)))</f>
        <v>0</v>
      </c>
      <c r="AQ70" s="188"/>
      <c r="AR70" s="188"/>
      <c r="AS70" s="188"/>
      <c r="AT70" s="175" t="s">
        <v>4</v>
      </c>
      <c r="AU70" s="175"/>
      <c r="AV70" s="183"/>
      <c r="AW70" s="175"/>
      <c r="AX70" s="184">
        <f>$BM$9</f>
        <v>35800</v>
      </c>
      <c r="AY70" s="184"/>
      <c r="AZ70" s="184"/>
      <c r="BA70" s="184"/>
      <c r="BB70" s="175" t="s">
        <v>4</v>
      </c>
      <c r="BC70" s="175"/>
      <c r="BD70" s="12"/>
      <c r="BE70" s="175"/>
      <c r="BF70" s="12"/>
      <c r="BG70" s="12"/>
      <c r="BH70" s="12"/>
      <c r="BI70" s="183"/>
      <c r="BJ70" s="12"/>
      <c r="BK70" s="184" t="str">
        <f>IF(T68="","",IF(T68&lt;6,ROUNDDOWN(AX70*(1-$BF$23)*0.5,-2),IF(AND(6&lt;=T68+1,T68+1&lt;=18),0,0)))</f>
        <v/>
      </c>
      <c r="BL70" s="184"/>
      <c r="BM70" s="184"/>
      <c r="BN70" s="184"/>
      <c r="BO70" s="175" t="s">
        <v>4</v>
      </c>
      <c r="BP70" s="12"/>
      <c r="BQ70" s="183"/>
      <c r="BR70" s="12"/>
      <c r="BS70" s="184">
        <f>IF(T68="",0,IF(T68&lt;6,0,IF(AND(5&lt;T68+1,T68+1&lt;=18),ROUNDDOWN(AX70*(1-$BF$23)*0.8,-2),0)))</f>
        <v>0</v>
      </c>
      <c r="BT70" s="184"/>
      <c r="BU70" s="184"/>
      <c r="BV70" s="184"/>
      <c r="BW70" s="175" t="s">
        <v>4</v>
      </c>
      <c r="BY70" s="183"/>
      <c r="BZ70" s="12"/>
      <c r="CA70" s="184">
        <f>IF(BS70=0,0,AX70-BS70)</f>
        <v>0</v>
      </c>
      <c r="CB70" s="184"/>
      <c r="CC70" s="184"/>
      <c r="CD70" s="184"/>
      <c r="CE70" s="175" t="s">
        <v>4</v>
      </c>
      <c r="CG70" s="192"/>
      <c r="CI70" s="188">
        <f>IF(T68="",0,IF(T68&lt;6,BK70,IF(AND(6&lt;=T68+1,T68+1&lt;=18),BS70,ROUNDDOWN(AX70*(1-$BF$23),-2))))</f>
        <v>0</v>
      </c>
      <c r="CJ70" s="188"/>
      <c r="CK70" s="188"/>
      <c r="CL70" s="188"/>
      <c r="CM70" s="175" t="s">
        <v>4</v>
      </c>
      <c r="CO70" s="192"/>
      <c r="CQ70" s="188">
        <f>IF(CI70="","",AP70+CI70)</f>
        <v>0</v>
      </c>
      <c r="CR70" s="188"/>
      <c r="CS70" s="188"/>
      <c r="CT70" s="188"/>
      <c r="CU70" s="175" t="s">
        <v>4</v>
      </c>
    </row>
    <row r="71" spans="1:99" ht="6" hidden="1" customHeight="1">
      <c r="A71" s="192"/>
      <c r="B71" s="6"/>
      <c r="C71" s="4"/>
      <c r="F71" s="176"/>
      <c r="G71" s="176"/>
      <c r="H71" s="176"/>
      <c r="I71" s="176"/>
      <c r="J71" s="175"/>
      <c r="K71" s="175"/>
      <c r="L71" s="175"/>
      <c r="M71" s="175"/>
      <c r="N71" s="175"/>
      <c r="O71" s="175"/>
      <c r="P71" s="175"/>
      <c r="Q71" s="175"/>
      <c r="R71" s="192"/>
      <c r="T71" s="82"/>
      <c r="U71" s="82"/>
      <c r="V71" s="175"/>
      <c r="W71" s="175"/>
      <c r="X71" s="183"/>
      <c r="Y71" s="175"/>
      <c r="Z71" s="175"/>
      <c r="AA71" s="177"/>
      <c r="AB71" s="177"/>
      <c r="AC71" s="177"/>
      <c r="AD71" s="175"/>
      <c r="AF71" s="183"/>
      <c r="AH71" s="178"/>
      <c r="AI71" s="178"/>
      <c r="AJ71" s="178"/>
      <c r="AK71" s="178"/>
      <c r="AL71" s="175"/>
      <c r="AN71" s="192"/>
      <c r="AP71" s="178"/>
      <c r="AQ71" s="178"/>
      <c r="AR71" s="178"/>
      <c r="AS71" s="178"/>
      <c r="AT71" s="175"/>
      <c r="AU71" s="175"/>
      <c r="AV71" s="183"/>
      <c r="AW71" s="175"/>
      <c r="AX71" s="176"/>
      <c r="AY71" s="176"/>
      <c r="AZ71" s="176"/>
      <c r="BA71" s="176"/>
      <c r="BB71" s="175"/>
      <c r="BC71" s="175"/>
      <c r="BD71" s="12"/>
      <c r="BE71" s="175"/>
      <c r="BF71" s="12"/>
      <c r="BG71" s="12"/>
      <c r="BH71" s="12"/>
      <c r="BI71" s="183"/>
      <c r="BJ71" s="12"/>
      <c r="BK71" s="176"/>
      <c r="BL71" s="176"/>
      <c r="BM71" s="176"/>
      <c r="BN71" s="176"/>
      <c r="BO71" s="175"/>
      <c r="BP71" s="12"/>
      <c r="BQ71" s="183"/>
      <c r="BR71" s="12"/>
      <c r="BS71" s="176"/>
      <c r="BT71" s="176"/>
      <c r="BU71" s="176"/>
      <c r="BV71" s="176"/>
      <c r="BW71" s="175"/>
      <c r="BY71" s="183"/>
      <c r="BZ71" s="12"/>
      <c r="CA71" s="176"/>
      <c r="CB71" s="176"/>
      <c r="CC71" s="176"/>
      <c r="CD71" s="176"/>
      <c r="CE71" s="175"/>
      <c r="CG71" s="192"/>
      <c r="CI71" s="178"/>
      <c r="CJ71" s="178"/>
      <c r="CK71" s="178"/>
      <c r="CL71" s="178"/>
      <c r="CM71" s="175"/>
      <c r="CO71" s="192"/>
      <c r="CQ71" s="178"/>
      <c r="CR71" s="178"/>
      <c r="CS71" s="178"/>
      <c r="CT71" s="178"/>
      <c r="CU71" s="175"/>
    </row>
    <row r="72" spans="1:99" ht="20.100000000000001" hidden="1" customHeight="1">
      <c r="A72" s="192"/>
      <c r="B72" s="6"/>
      <c r="C72" s="4"/>
      <c r="F72" s="176"/>
      <c r="G72" s="176"/>
      <c r="H72" s="176"/>
      <c r="I72" s="176"/>
      <c r="J72" s="175"/>
      <c r="K72" s="175"/>
      <c r="L72" s="175"/>
      <c r="M72" s="175"/>
      <c r="N72" s="175"/>
      <c r="O72" s="175"/>
      <c r="P72" s="175"/>
      <c r="Q72" s="175"/>
      <c r="R72" s="192"/>
      <c r="T72" s="82"/>
      <c r="U72" s="82"/>
      <c r="V72" s="175"/>
      <c r="W72" s="175"/>
      <c r="X72" s="183"/>
      <c r="Y72" s="175"/>
      <c r="Z72" s="175" t="s">
        <v>140</v>
      </c>
      <c r="AA72" s="189" t="str">
        <f>IF(T68="","",$V$11)</f>
        <v/>
      </c>
      <c r="AB72" s="189"/>
      <c r="AC72" s="189"/>
      <c r="AD72" s="175" t="s">
        <v>134</v>
      </c>
      <c r="AF72" s="183"/>
      <c r="AH72" s="188">
        <f>IF(AA72="",0,MAX(ROUNDDOWN((F68-$AP$9)*AA72/100,-2),0,0))</f>
        <v>0</v>
      </c>
      <c r="AI72" s="188"/>
      <c r="AJ72" s="188"/>
      <c r="AK72" s="188"/>
      <c r="AL72" s="175" t="s">
        <v>4</v>
      </c>
      <c r="AN72" s="192"/>
      <c r="AP72" s="188">
        <f>IF(T68="",0,IF($AZ$11&lt;=AH72,$AZ$11-CI72,IF(AH72&lt;$AZ$11,MIN(AH72,$AZ$11-CI72),0)))</f>
        <v>0</v>
      </c>
      <c r="AQ72" s="188"/>
      <c r="AR72" s="188"/>
      <c r="AS72" s="188"/>
      <c r="AT72" s="175" t="s">
        <v>4</v>
      </c>
      <c r="AU72" s="175"/>
      <c r="AV72" s="183"/>
      <c r="AW72" s="175"/>
      <c r="AX72" s="184">
        <f>$BM$11</f>
        <v>15700</v>
      </c>
      <c r="AY72" s="184"/>
      <c r="AZ72" s="184"/>
      <c r="BA72" s="184"/>
      <c r="BB72" s="175" t="s">
        <v>4</v>
      </c>
      <c r="BC72" s="175"/>
      <c r="BD72" s="12"/>
      <c r="BE72" s="175"/>
      <c r="BF72" s="12"/>
      <c r="BG72" s="12"/>
      <c r="BH72" s="12"/>
      <c r="BI72" s="183"/>
      <c r="BJ72" s="12"/>
      <c r="BK72" s="184" t="str">
        <f>IF(T68="","",IF(T68&lt;6,ROUNDDOWN(AX72*(1-$BF$23)*0.5,-2),IF(AND(6&lt;=T68+1,T68+1&lt;=18),0,0)))</f>
        <v/>
      </c>
      <c r="BL72" s="184"/>
      <c r="BM72" s="184"/>
      <c r="BN72" s="184"/>
      <c r="BO72" s="175" t="s">
        <v>4</v>
      </c>
      <c r="BP72" s="12"/>
      <c r="BQ72" s="183"/>
      <c r="BR72" s="12"/>
      <c r="BS72" s="184">
        <f>IF(T68="",0,IF(T68&lt;6,0,IF(AND(5&lt;T68+1,T68+1&lt;=18),ROUNDDOWN(AX72*(1-$BF$23)*0.8,-2),0)))</f>
        <v>0</v>
      </c>
      <c r="BT72" s="184"/>
      <c r="BU72" s="184"/>
      <c r="BV72" s="184"/>
      <c r="BW72" s="175" t="s">
        <v>4</v>
      </c>
      <c r="BY72" s="183"/>
      <c r="BZ72" s="12"/>
      <c r="CA72" s="184">
        <f>IF(BS72=0,0,AX72-BS72)</f>
        <v>0</v>
      </c>
      <c r="CB72" s="184"/>
      <c r="CC72" s="184"/>
      <c r="CD72" s="184"/>
      <c r="CE72" s="175" t="s">
        <v>4</v>
      </c>
      <c r="CG72" s="192"/>
      <c r="CI72" s="188">
        <f>IF(T68="",0,IF(T68&lt;6,BK72,IF(AND(6&lt;=T68+1,T68+1&lt;=18),BS72,ROUNDDOWN(AX72*(1-$BF$23),-2))))</f>
        <v>0</v>
      </c>
      <c r="CJ72" s="188"/>
      <c r="CK72" s="188"/>
      <c r="CL72" s="188"/>
      <c r="CM72" s="175" t="s">
        <v>4</v>
      </c>
      <c r="CO72" s="192"/>
      <c r="CQ72" s="188">
        <f>IF(CI72="","",AP72+CI72)</f>
        <v>0</v>
      </c>
      <c r="CR72" s="188"/>
      <c r="CS72" s="188"/>
      <c r="CT72" s="188"/>
      <c r="CU72" s="175" t="s">
        <v>4</v>
      </c>
    </row>
    <row r="73" spans="1:99" ht="6" hidden="1" customHeight="1">
      <c r="A73" s="192"/>
      <c r="B73" s="6"/>
      <c r="C73" s="4"/>
      <c r="F73" s="176"/>
      <c r="G73" s="176"/>
      <c r="H73" s="176"/>
      <c r="I73" s="176"/>
      <c r="J73" s="175"/>
      <c r="K73" s="175"/>
      <c r="L73" s="175"/>
      <c r="M73" s="175"/>
      <c r="N73" s="175"/>
      <c r="O73" s="175"/>
      <c r="P73" s="175"/>
      <c r="Q73" s="175"/>
      <c r="R73" s="192"/>
      <c r="T73" s="82"/>
      <c r="U73" s="82"/>
      <c r="V73" s="175"/>
      <c r="W73" s="175"/>
      <c r="X73" s="183"/>
      <c r="Y73" s="175"/>
      <c r="Z73" s="175"/>
      <c r="AA73" s="177"/>
      <c r="AB73" s="177"/>
      <c r="AC73" s="177"/>
      <c r="AD73" s="175"/>
      <c r="AF73" s="183"/>
      <c r="AH73" s="178"/>
      <c r="AI73" s="178"/>
      <c r="AJ73" s="178"/>
      <c r="AK73" s="178"/>
      <c r="AL73" s="175"/>
      <c r="AN73" s="192"/>
      <c r="AP73" s="178"/>
      <c r="AQ73" s="178"/>
      <c r="AR73" s="178"/>
      <c r="AS73" s="178"/>
      <c r="AT73" s="175"/>
      <c r="AU73" s="175"/>
      <c r="AV73" s="183"/>
      <c r="AW73" s="175"/>
      <c r="AX73" s="176"/>
      <c r="AY73" s="176"/>
      <c r="AZ73" s="176"/>
      <c r="BA73" s="176"/>
      <c r="BB73" s="175"/>
      <c r="BC73" s="175"/>
      <c r="BD73" s="12"/>
      <c r="BE73" s="175"/>
      <c r="BF73" s="12"/>
      <c r="BG73" s="12"/>
      <c r="BH73" s="12"/>
      <c r="BI73" s="183"/>
      <c r="BJ73" s="12"/>
      <c r="BK73" s="176"/>
      <c r="BL73" s="176"/>
      <c r="BM73" s="176"/>
      <c r="BN73" s="176"/>
      <c r="BO73" s="175"/>
      <c r="BP73" s="12"/>
      <c r="BQ73" s="183"/>
      <c r="BR73" s="12"/>
      <c r="BS73" s="176"/>
      <c r="BT73" s="176"/>
      <c r="BU73" s="176"/>
      <c r="BV73" s="176"/>
      <c r="BW73" s="175"/>
      <c r="BY73" s="183"/>
      <c r="BZ73" s="12"/>
      <c r="CA73" s="176"/>
      <c r="CB73" s="176"/>
      <c r="CC73" s="176"/>
      <c r="CD73" s="176"/>
      <c r="CE73" s="175"/>
      <c r="CG73" s="192"/>
      <c r="CI73" s="178"/>
      <c r="CJ73" s="178"/>
      <c r="CK73" s="178"/>
      <c r="CL73" s="178"/>
      <c r="CM73" s="175"/>
      <c r="CO73" s="192"/>
      <c r="CQ73" s="178"/>
      <c r="CR73" s="178"/>
      <c r="CS73" s="178"/>
      <c r="CT73" s="178"/>
      <c r="CU73" s="175"/>
    </row>
    <row r="74" spans="1:99" ht="20.100000000000001" hidden="1" customHeight="1">
      <c r="A74" s="192"/>
      <c r="B74" s="6"/>
      <c r="C74" s="4"/>
      <c r="F74" s="176"/>
      <c r="G74" s="176"/>
      <c r="H74" s="176"/>
      <c r="I74" s="176"/>
      <c r="J74" s="175"/>
      <c r="K74" s="175"/>
      <c r="L74" s="175"/>
      <c r="M74" s="175"/>
      <c r="N74" s="175"/>
      <c r="O74" s="175"/>
      <c r="P74" s="175"/>
      <c r="Q74" s="175"/>
      <c r="R74" s="192"/>
      <c r="T74" s="82"/>
      <c r="U74" s="82"/>
      <c r="V74" s="175"/>
      <c r="W74" s="175"/>
      <c r="X74" s="183"/>
      <c r="Y74" s="175"/>
      <c r="Z74" s="175" t="s">
        <v>141</v>
      </c>
      <c r="AA74" s="189" t="str">
        <f>IF(T68="","",IF(AND(39&lt;T68+1,T68&lt;65),$V$13,""))</f>
        <v/>
      </c>
      <c r="AB74" s="189"/>
      <c r="AC74" s="189"/>
      <c r="AD74" s="175" t="s">
        <v>134</v>
      </c>
      <c r="AF74" s="183"/>
      <c r="AH74" s="188">
        <f>IF(AA74="",0,MAX(ROUNDDOWN((F68-$AP$9)*AA74/100,-2),0,0))</f>
        <v>0</v>
      </c>
      <c r="AI74" s="188"/>
      <c r="AJ74" s="188"/>
      <c r="AK74" s="188"/>
      <c r="AL74" s="175" t="s">
        <v>4</v>
      </c>
      <c r="AN74" s="192"/>
      <c r="AP74" s="188">
        <f>IF(T68="",0,IF($AZ$13&lt;=AH74,$AZ$13-CI74,IF(AH74&lt;$AZ$13,MIN(AH74,$AZ$13-CI74),0)))</f>
        <v>0</v>
      </c>
      <c r="AQ74" s="188"/>
      <c r="AR74" s="188"/>
      <c r="AS74" s="188"/>
      <c r="AT74" s="175" t="s">
        <v>4</v>
      </c>
      <c r="AU74" s="175"/>
      <c r="AV74" s="183"/>
      <c r="AW74" s="175"/>
      <c r="AX74" s="184">
        <f>IF(T68="",0,IF(AND(39&lt;T68+1,T68&lt;65),13600,0))</f>
        <v>0</v>
      </c>
      <c r="AY74" s="184"/>
      <c r="AZ74" s="184"/>
      <c r="BA74" s="184"/>
      <c r="BB74" s="175" t="s">
        <v>4</v>
      </c>
      <c r="BC74" s="175"/>
      <c r="BD74" s="12"/>
      <c r="BE74" s="175"/>
      <c r="BF74" s="12"/>
      <c r="BG74" s="12"/>
      <c r="BH74" s="12"/>
      <c r="BI74" s="183"/>
      <c r="BJ74" s="12"/>
      <c r="BK74" s="184" t="str">
        <f>IF(T68="","",IF(T68&lt;6,ROUNDDOWN(AX74*(1-$BF$23)*0.5,-2),IF(AND(6&lt;=T68+1,T68+1&lt;=18),0,0)))</f>
        <v/>
      </c>
      <c r="BL74" s="184"/>
      <c r="BM74" s="184"/>
      <c r="BN74" s="184"/>
      <c r="BO74" s="175" t="s">
        <v>4</v>
      </c>
      <c r="BP74" s="12"/>
      <c r="BQ74" s="183"/>
      <c r="BR74" s="12"/>
      <c r="BS74" s="184">
        <f>IF(T68="",0,IF(T68&lt;6,0,IF(AND(5&lt;T68+1,T68+1&lt;=18),ROUNDDOWN(AX74*(1-$BF$23)*0.8,-2),0)))</f>
        <v>0</v>
      </c>
      <c r="BT74" s="184"/>
      <c r="BU74" s="184"/>
      <c r="BV74" s="184"/>
      <c r="BW74" s="175" t="s">
        <v>4</v>
      </c>
      <c r="BY74" s="183"/>
      <c r="BZ74" s="12"/>
      <c r="CA74" s="184">
        <f>IF(BS74=0,0,AX74-BS74)</f>
        <v>0</v>
      </c>
      <c r="CB74" s="184"/>
      <c r="CC74" s="184"/>
      <c r="CD74" s="184"/>
      <c r="CE74" s="175" t="s">
        <v>4</v>
      </c>
      <c r="CG74" s="192"/>
      <c r="CI74" s="188">
        <f>IF(T68="",0,IF(T68&lt;6,BK74,IF(AND(6&lt;=T68+1,T68+1&lt;=18),BS74,ROUNDDOWN(AX74*(1-$BF$23),-2))))</f>
        <v>0</v>
      </c>
      <c r="CJ74" s="188"/>
      <c r="CK74" s="188"/>
      <c r="CL74" s="188"/>
      <c r="CM74" s="175" t="s">
        <v>4</v>
      </c>
      <c r="CO74" s="192"/>
      <c r="CQ74" s="188">
        <f>IF(CI74="","",AP74+CI74)</f>
        <v>0</v>
      </c>
      <c r="CR74" s="188"/>
      <c r="CS74" s="188"/>
      <c r="CT74" s="188"/>
      <c r="CU74" s="175" t="s">
        <v>4</v>
      </c>
    </row>
    <row r="75" spans="1:99" ht="6" customHeight="1">
      <c r="A75" s="192"/>
      <c r="B75" s="6"/>
      <c r="C75" s="8"/>
      <c r="D75" s="8"/>
      <c r="E75" s="8"/>
      <c r="F75" s="8"/>
      <c r="G75" s="8"/>
      <c r="H75" s="8"/>
      <c r="I75" s="8"/>
      <c r="J75" s="8"/>
      <c r="K75" s="9"/>
      <c r="L75" s="9"/>
      <c r="M75" s="9"/>
      <c r="N75" s="9"/>
      <c r="O75" s="9"/>
      <c r="P75" s="9"/>
      <c r="Q75" s="9"/>
      <c r="R75" s="192"/>
      <c r="T75" s="8"/>
      <c r="U75" s="8"/>
      <c r="V75" s="8"/>
      <c r="X75" s="183"/>
      <c r="Z75" s="8"/>
      <c r="AA75" s="8"/>
      <c r="AB75" s="8"/>
      <c r="AC75" s="8"/>
      <c r="AD75" s="8"/>
      <c r="AF75" s="183"/>
      <c r="AH75" s="8"/>
      <c r="AI75" s="8"/>
      <c r="AJ75" s="8"/>
      <c r="AK75" s="8"/>
      <c r="AL75" s="8"/>
      <c r="AN75" s="192"/>
      <c r="AP75" s="11"/>
      <c r="AQ75" s="11"/>
      <c r="AR75" s="11"/>
      <c r="AS75" s="11"/>
      <c r="AT75" s="8"/>
      <c r="AV75" s="183"/>
      <c r="AX75" s="11"/>
      <c r="AY75" s="11"/>
      <c r="AZ75" s="11"/>
      <c r="BA75" s="11"/>
      <c r="BB75" s="8"/>
      <c r="BD75" s="12"/>
      <c r="BF75" s="12"/>
      <c r="BG75" s="12"/>
      <c r="BH75" s="12"/>
      <c r="BI75" s="183"/>
      <c r="BJ75" s="12"/>
      <c r="BK75" s="11"/>
      <c r="BL75" s="11"/>
      <c r="BM75" s="11"/>
      <c r="BN75" s="11"/>
      <c r="BO75" s="8"/>
      <c r="BP75" s="12"/>
      <c r="BQ75" s="183"/>
      <c r="BR75" s="12"/>
      <c r="BS75" s="11"/>
      <c r="BT75" s="11"/>
      <c r="BU75" s="11"/>
      <c r="BV75" s="11"/>
      <c r="BW75" s="8"/>
      <c r="BY75" s="183"/>
      <c r="BZ75" s="12"/>
      <c r="CA75" s="11"/>
      <c r="CB75" s="11"/>
      <c r="CC75" s="11"/>
      <c r="CD75" s="11"/>
      <c r="CE75" s="8"/>
      <c r="CG75" s="192"/>
      <c r="CI75" s="11"/>
      <c r="CJ75" s="11"/>
      <c r="CK75" s="11"/>
      <c r="CL75" s="11"/>
      <c r="CM75" s="8"/>
      <c r="CO75" s="192"/>
      <c r="CQ75" s="11"/>
      <c r="CR75" s="11"/>
      <c r="CS75" s="11"/>
      <c r="CT75" s="11"/>
      <c r="CU75" s="8"/>
    </row>
    <row r="76" spans="1:99" ht="6" customHeight="1">
      <c r="A76" s="192"/>
      <c r="B76" s="6"/>
      <c r="C76" s="10"/>
      <c r="D76" s="10"/>
      <c r="E76" s="10"/>
      <c r="F76" s="10"/>
      <c r="G76" s="10"/>
      <c r="H76" s="10"/>
      <c r="I76" s="10"/>
      <c r="J76" s="10"/>
      <c r="K76" s="9"/>
      <c r="L76" s="9"/>
      <c r="M76" s="9"/>
      <c r="N76" s="9"/>
      <c r="O76" s="9"/>
      <c r="P76" s="9"/>
      <c r="Q76" s="9"/>
      <c r="R76" s="192"/>
      <c r="T76" s="10"/>
      <c r="U76" s="10"/>
      <c r="V76" s="10"/>
      <c r="X76" s="183"/>
      <c r="Z76" s="10"/>
      <c r="AA76" s="10"/>
      <c r="AB76" s="10"/>
      <c r="AC76" s="10"/>
      <c r="AD76" s="10"/>
      <c r="AF76" s="183"/>
      <c r="AH76" s="10"/>
      <c r="AI76" s="10"/>
      <c r="AJ76" s="10"/>
      <c r="AK76" s="10"/>
      <c r="AL76" s="10"/>
      <c r="AN76" s="192"/>
      <c r="AP76" s="13"/>
      <c r="AQ76" s="13"/>
      <c r="AR76" s="13"/>
      <c r="AS76" s="13"/>
      <c r="AT76" s="10"/>
      <c r="AV76" s="183"/>
      <c r="AX76" s="13"/>
      <c r="AY76" s="13"/>
      <c r="AZ76" s="13"/>
      <c r="BA76" s="13"/>
      <c r="BB76" s="10"/>
      <c r="BD76" s="12"/>
      <c r="BF76" s="12"/>
      <c r="BG76" s="12"/>
      <c r="BH76" s="12"/>
      <c r="BI76" s="183"/>
      <c r="BJ76" s="12"/>
      <c r="BK76" s="13"/>
      <c r="BL76" s="13"/>
      <c r="BM76" s="13"/>
      <c r="BN76" s="13"/>
      <c r="BO76" s="10"/>
      <c r="BP76" s="12"/>
      <c r="BQ76" s="183"/>
      <c r="BR76" s="12"/>
      <c r="BS76" s="13"/>
      <c r="BT76" s="13"/>
      <c r="BU76" s="13"/>
      <c r="BV76" s="13"/>
      <c r="BW76" s="10"/>
      <c r="BY76" s="183"/>
      <c r="BZ76" s="12"/>
      <c r="CA76" s="13"/>
      <c r="CB76" s="13"/>
      <c r="CC76" s="13"/>
      <c r="CD76" s="13"/>
      <c r="CE76" s="10"/>
      <c r="CG76" s="192"/>
      <c r="CI76" s="13"/>
      <c r="CJ76" s="13"/>
      <c r="CK76" s="13"/>
      <c r="CL76" s="13"/>
      <c r="CM76" s="10"/>
      <c r="CO76" s="192"/>
      <c r="CQ76" s="13"/>
      <c r="CR76" s="13"/>
      <c r="CS76" s="13"/>
      <c r="CT76" s="13"/>
      <c r="CU76" s="10"/>
    </row>
    <row r="77" spans="1:99" ht="20.100000000000001" customHeight="1">
      <c r="C77" s="4" t="s">
        <v>8</v>
      </c>
      <c r="F77" s="188" t="str">
        <f>IF(F23="","",SUM(F23:I68))</f>
        <v/>
      </c>
      <c r="G77" s="188"/>
      <c r="H77" s="188"/>
      <c r="I77" s="188"/>
      <c r="J77" s="175" t="s">
        <v>4</v>
      </c>
      <c r="K77" s="175"/>
      <c r="L77" s="190" t="str">
        <f>IF(AND(CQ7=0,890000&lt;=CQ9),"限度額超過",IF(AND(CQ9=0,1060000&lt;=CQ7),"限度額超過",""))</f>
        <v/>
      </c>
      <c r="M77" s="190"/>
      <c r="N77" s="190"/>
      <c r="O77" s="190"/>
      <c r="P77" s="190"/>
      <c r="Q77" s="190"/>
      <c r="R77" s="15" t="s">
        <v>23</v>
      </c>
    </row>
    <row r="78" spans="1:99" ht="6.95" customHeight="1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CK78" s="86"/>
      <c r="CL78" s="86"/>
      <c r="CM78" s="86"/>
      <c r="CN78" s="86"/>
      <c r="CO78" s="86"/>
    </row>
    <row r="79" spans="1:99" ht="20.100000000000001" customHeight="1">
      <c r="A79" s="197" t="s">
        <v>162</v>
      </c>
      <c r="B79" s="197"/>
      <c r="C79" s="197"/>
      <c r="D79" s="197"/>
      <c r="E79" s="197"/>
      <c r="F79" s="91" t="s">
        <v>163</v>
      </c>
      <c r="G79" s="4" t="s">
        <v>168</v>
      </c>
      <c r="CL79" s="86"/>
      <c r="CM79" s="86"/>
      <c r="CN79" s="86"/>
      <c r="CO79" s="86"/>
    </row>
    <row r="80" spans="1:99" ht="20.100000000000001" customHeight="1">
      <c r="A80" s="197"/>
      <c r="B80" s="197"/>
      <c r="C80" s="197"/>
      <c r="D80" s="197"/>
      <c r="E80" s="197"/>
      <c r="F80" s="91" t="s">
        <v>163</v>
      </c>
      <c r="G80" s="4" t="s">
        <v>164</v>
      </c>
    </row>
    <row r="81" spans="1:7" ht="20.100000000000001" customHeight="1">
      <c r="A81" s="197"/>
      <c r="B81" s="197"/>
      <c r="C81" s="197"/>
      <c r="D81" s="197"/>
      <c r="E81" s="197"/>
      <c r="F81" s="91" t="s">
        <v>163</v>
      </c>
      <c r="G81" s="4" t="s">
        <v>165</v>
      </c>
    </row>
  </sheetData>
  <sheetProtection algorithmName="SHA-512" hashValue="WT8pCTnCzIAPMHPUgYjNwlA1VOJAQsgtq2544MjY3VX8ou3Ey35srIf2ciiSQpk6MEMq0QXlo7r9eW1DOODDog==" saltValue="iOFdkEBiL0+k71/2ggDh/Q==" spinCount="100000" sheet="1" selectLockedCells="1"/>
  <mergeCells count="291">
    <mergeCell ref="A79:E81"/>
    <mergeCell ref="CI4:CL4"/>
    <mergeCell ref="CQ4:CT4"/>
    <mergeCell ref="A9:A13"/>
    <mergeCell ref="E9:H9"/>
    <mergeCell ref="E11:H11"/>
    <mergeCell ref="E13:H13"/>
    <mergeCell ref="CQ7:CT7"/>
    <mergeCell ref="R9:R13"/>
    <mergeCell ref="BK13:BL13"/>
    <mergeCell ref="BM13:BP13"/>
    <mergeCell ref="AN9:AN13"/>
    <mergeCell ref="AP9:AS9"/>
    <mergeCell ref="T9:U9"/>
    <mergeCell ref="T11:U11"/>
    <mergeCell ref="T13:U13"/>
    <mergeCell ref="V9:Y9"/>
    <mergeCell ref="V11:Y11"/>
    <mergeCell ref="V13:Y13"/>
    <mergeCell ref="BI9:BI13"/>
    <mergeCell ref="BK9:BL9"/>
    <mergeCell ref="BM9:BP9"/>
    <mergeCell ref="BK11:BL11"/>
    <mergeCell ref="CI50:CL50"/>
    <mergeCell ref="CQ50:CT50"/>
    <mergeCell ref="F41:I41"/>
    <mergeCell ref="T41:U41"/>
    <mergeCell ref="AA41:AC41"/>
    <mergeCell ref="AP41:AS41"/>
    <mergeCell ref="AX41:BA41"/>
    <mergeCell ref="BS41:BV41"/>
    <mergeCell ref="BI21:BI76"/>
    <mergeCell ref="CO21:CO76"/>
    <mergeCell ref="R21:R76"/>
    <mergeCell ref="AN21:AN76"/>
    <mergeCell ref="CG21:CG76"/>
    <mergeCell ref="AX59:BA59"/>
    <mergeCell ref="F23:I23"/>
    <mergeCell ref="BS23:BV23"/>
    <mergeCell ref="CI23:CL23"/>
    <mergeCell ref="BK50:BN50"/>
    <mergeCell ref="AX45:BA45"/>
    <mergeCell ref="AX47:BA47"/>
    <mergeCell ref="BQ21:BQ76"/>
    <mergeCell ref="BK41:BN41"/>
    <mergeCell ref="F50:I50"/>
    <mergeCell ref="AA23:AC23"/>
    <mergeCell ref="CQ52:CT52"/>
    <mergeCell ref="CQ54:CT54"/>
    <mergeCell ref="CQ56:CT56"/>
    <mergeCell ref="AX65:BA65"/>
    <mergeCell ref="BK63:BN63"/>
    <mergeCell ref="BK65:BN65"/>
    <mergeCell ref="BK52:BN52"/>
    <mergeCell ref="AP56:AS56"/>
    <mergeCell ref="AX52:BA52"/>
    <mergeCell ref="AX54:BA54"/>
    <mergeCell ref="AX56:BA56"/>
    <mergeCell ref="AP61:AS61"/>
    <mergeCell ref="AP63:AS63"/>
    <mergeCell ref="BS61:BV61"/>
    <mergeCell ref="CQ61:CT61"/>
    <mergeCell ref="CQ63:CT63"/>
    <mergeCell ref="CA52:CD52"/>
    <mergeCell ref="CA54:CD54"/>
    <mergeCell ref="CA56:CD56"/>
    <mergeCell ref="CI52:CL52"/>
    <mergeCell ref="CA61:CD61"/>
    <mergeCell ref="CA63:CD63"/>
    <mergeCell ref="CA65:CD65"/>
    <mergeCell ref="CI61:CL61"/>
    <mergeCell ref="CQ59:CT59"/>
    <mergeCell ref="F68:I68"/>
    <mergeCell ref="T68:U68"/>
    <mergeCell ref="AA68:AC68"/>
    <mergeCell ref="AP68:AS68"/>
    <mergeCell ref="AX68:BA68"/>
    <mergeCell ref="BS68:BV68"/>
    <mergeCell ref="CI68:CL68"/>
    <mergeCell ref="CQ68:CT68"/>
    <mergeCell ref="F59:I59"/>
    <mergeCell ref="T59:U59"/>
    <mergeCell ref="AA59:AC59"/>
    <mergeCell ref="AP59:AS59"/>
    <mergeCell ref="CA59:CD59"/>
    <mergeCell ref="BS59:BV59"/>
    <mergeCell ref="AX61:BA61"/>
    <mergeCell ref="AX63:BA63"/>
    <mergeCell ref="BS63:BV63"/>
    <mergeCell ref="AH63:AK63"/>
    <mergeCell ref="CI63:CL63"/>
    <mergeCell ref="CI65:CL65"/>
    <mergeCell ref="CI59:CL59"/>
    <mergeCell ref="BK61:BN61"/>
    <mergeCell ref="AH61:AK61"/>
    <mergeCell ref="AA65:AC65"/>
    <mergeCell ref="CQ43:CT43"/>
    <mergeCell ref="CQ41:CT41"/>
    <mergeCell ref="CQ45:CT45"/>
    <mergeCell ref="CQ47:CT47"/>
    <mergeCell ref="CA41:CD41"/>
    <mergeCell ref="CA27:CD27"/>
    <mergeCell ref="CA29:CD29"/>
    <mergeCell ref="CA32:CD32"/>
    <mergeCell ref="CA34:CD34"/>
    <mergeCell ref="CA36:CD36"/>
    <mergeCell ref="CA43:CD43"/>
    <mergeCell ref="CA45:CD45"/>
    <mergeCell ref="CA47:CD47"/>
    <mergeCell ref="CI43:CL43"/>
    <mergeCell ref="CI45:CL45"/>
    <mergeCell ref="CI47:CL47"/>
    <mergeCell ref="CQ38:CT38"/>
    <mergeCell ref="CI38:CL38"/>
    <mergeCell ref="CA38:CD38"/>
    <mergeCell ref="CQ36:CT36"/>
    <mergeCell ref="CQ25:CT25"/>
    <mergeCell ref="CI34:CL34"/>
    <mergeCell ref="CI36:CL36"/>
    <mergeCell ref="CQ23:CT23"/>
    <mergeCell ref="CI32:CL32"/>
    <mergeCell ref="CQ32:CT32"/>
    <mergeCell ref="CQ27:CT27"/>
    <mergeCell ref="CQ29:CT29"/>
    <mergeCell ref="CQ34:CT34"/>
    <mergeCell ref="BK23:BN23"/>
    <mergeCell ref="BK32:BN32"/>
    <mergeCell ref="BK25:BN25"/>
    <mergeCell ref="T50:U50"/>
    <mergeCell ref="AA50:AC50"/>
    <mergeCell ref="AP50:AS50"/>
    <mergeCell ref="AX50:BA50"/>
    <mergeCell ref="AX43:BA43"/>
    <mergeCell ref="T23:U23"/>
    <mergeCell ref="BK29:BN29"/>
    <mergeCell ref="AH38:AK38"/>
    <mergeCell ref="BK27:BN27"/>
    <mergeCell ref="AH32:AK32"/>
    <mergeCell ref="AH50:AK50"/>
    <mergeCell ref="AP32:AS32"/>
    <mergeCell ref="AX32:BA32"/>
    <mergeCell ref="AP34:AS34"/>
    <mergeCell ref="AP36:AS36"/>
    <mergeCell ref="AA47:AC47"/>
    <mergeCell ref="BS25:BV25"/>
    <mergeCell ref="BS27:BV27"/>
    <mergeCell ref="BF23:BG23"/>
    <mergeCell ref="L32:O32"/>
    <mergeCell ref="T32:U32"/>
    <mergeCell ref="AX29:BA29"/>
    <mergeCell ref="AX27:BA27"/>
    <mergeCell ref="AP25:AS25"/>
    <mergeCell ref="AP27:AS27"/>
    <mergeCell ref="AX23:BA23"/>
    <mergeCell ref="AX25:BA25"/>
    <mergeCell ref="AP23:AS23"/>
    <mergeCell ref="AV21:AV76"/>
    <mergeCell ref="AA43:AC43"/>
    <mergeCell ref="AH36:AK36"/>
    <mergeCell ref="AH34:AK34"/>
    <mergeCell ref="AH41:AK41"/>
    <mergeCell ref="AH43:AK43"/>
    <mergeCell ref="AH45:AK45"/>
    <mergeCell ref="AH47:AK47"/>
    <mergeCell ref="AH70:AK70"/>
    <mergeCell ref="AH72:AK72"/>
    <mergeCell ref="AH74:AK74"/>
    <mergeCell ref="BS45:BV45"/>
    <mergeCell ref="A21:A76"/>
    <mergeCell ref="AA56:AC56"/>
    <mergeCell ref="AP65:AS65"/>
    <mergeCell ref="AA61:AC61"/>
    <mergeCell ref="AA63:AC63"/>
    <mergeCell ref="AH52:AK52"/>
    <mergeCell ref="AH54:AK54"/>
    <mergeCell ref="AH56:AK56"/>
    <mergeCell ref="AP52:AS52"/>
    <mergeCell ref="AP54:AS54"/>
    <mergeCell ref="AH65:AK65"/>
    <mergeCell ref="F32:I32"/>
    <mergeCell ref="AP43:AS43"/>
    <mergeCell ref="AA25:AC25"/>
    <mergeCell ref="AA27:AC27"/>
    <mergeCell ref="AA29:AC29"/>
    <mergeCell ref="X21:X76"/>
    <mergeCell ref="AA34:AC34"/>
    <mergeCell ref="AA36:AC36"/>
    <mergeCell ref="AA38:AC38"/>
    <mergeCell ref="AH68:AK68"/>
    <mergeCell ref="AP70:AS70"/>
    <mergeCell ref="AP72:AS72"/>
    <mergeCell ref="AA32:AC32"/>
    <mergeCell ref="CI54:CL54"/>
    <mergeCell ref="CI56:CL56"/>
    <mergeCell ref="BK54:BN54"/>
    <mergeCell ref="BK56:BN56"/>
    <mergeCell ref="BY21:BY76"/>
    <mergeCell ref="CA23:CD23"/>
    <mergeCell ref="CA25:CD25"/>
    <mergeCell ref="CI72:CL72"/>
    <mergeCell ref="CI74:CL74"/>
    <mergeCell ref="CA50:CD50"/>
    <mergeCell ref="BS54:BV54"/>
    <mergeCell ref="BS29:BV29"/>
    <mergeCell ref="CI25:CL25"/>
    <mergeCell ref="CI27:CL27"/>
    <mergeCell ref="CI29:CL29"/>
    <mergeCell ref="BS34:BV34"/>
    <mergeCell ref="CI41:CL41"/>
    <mergeCell ref="BK43:BN43"/>
    <mergeCell ref="BK45:BN45"/>
    <mergeCell ref="BK47:BN47"/>
    <mergeCell ref="BS43:BV43"/>
    <mergeCell ref="BK59:BN59"/>
    <mergeCell ref="BS56:BV56"/>
    <mergeCell ref="BS52:BV52"/>
    <mergeCell ref="AA52:AC52"/>
    <mergeCell ref="AA54:AC54"/>
    <mergeCell ref="BS50:BV50"/>
    <mergeCell ref="AH59:AK59"/>
    <mergeCell ref="AA45:AC45"/>
    <mergeCell ref="BS32:BV32"/>
    <mergeCell ref="BS47:BV47"/>
    <mergeCell ref="BS36:BV36"/>
    <mergeCell ref="AX34:BA34"/>
    <mergeCell ref="AX36:BA36"/>
    <mergeCell ref="BK34:BN34"/>
    <mergeCell ref="BK36:BN36"/>
    <mergeCell ref="BS38:BV38"/>
    <mergeCell ref="AX38:BA38"/>
    <mergeCell ref="BK38:BN38"/>
    <mergeCell ref="CQ65:CT65"/>
    <mergeCell ref="CQ70:CT70"/>
    <mergeCell ref="CQ72:CT72"/>
    <mergeCell ref="AX70:BA70"/>
    <mergeCell ref="AX72:BA72"/>
    <mergeCell ref="AX74:BA74"/>
    <mergeCell ref="BK70:BN70"/>
    <mergeCell ref="BK72:BN72"/>
    <mergeCell ref="BS65:BV65"/>
    <mergeCell ref="CA68:CD68"/>
    <mergeCell ref="CI70:CL70"/>
    <mergeCell ref="BK68:BN68"/>
    <mergeCell ref="A78:Q78"/>
    <mergeCell ref="CQ74:CT74"/>
    <mergeCell ref="BK74:BN74"/>
    <mergeCell ref="BS70:BV70"/>
    <mergeCell ref="BS72:BV72"/>
    <mergeCell ref="BS74:BV74"/>
    <mergeCell ref="CA70:CD70"/>
    <mergeCell ref="CA72:CD72"/>
    <mergeCell ref="CA74:CD74"/>
    <mergeCell ref="AA70:AC70"/>
    <mergeCell ref="AA72:AC72"/>
    <mergeCell ref="AA74:AC74"/>
    <mergeCell ref="F77:I77"/>
    <mergeCell ref="L77:Q77"/>
    <mergeCell ref="AP74:AS74"/>
    <mergeCell ref="AF21:AF76"/>
    <mergeCell ref="AH23:AK23"/>
    <mergeCell ref="AH25:AK25"/>
    <mergeCell ref="AH27:AK27"/>
    <mergeCell ref="AH29:AK29"/>
    <mergeCell ref="AP29:AS29"/>
    <mergeCell ref="AP45:AS45"/>
    <mergeCell ref="AP47:AS47"/>
    <mergeCell ref="AP38:AS38"/>
    <mergeCell ref="A2:CU2"/>
    <mergeCell ref="K11:N11"/>
    <mergeCell ref="K13:N13"/>
    <mergeCell ref="AX9:AY9"/>
    <mergeCell ref="AZ9:BC9"/>
    <mergeCell ref="AX11:AY11"/>
    <mergeCell ref="AZ11:BC11"/>
    <mergeCell ref="AX13:AY13"/>
    <mergeCell ref="AZ13:BC13"/>
    <mergeCell ref="AV9:AV17"/>
    <mergeCell ref="AX15:AY15"/>
    <mergeCell ref="AX17:AY17"/>
    <mergeCell ref="AZ15:BC15"/>
    <mergeCell ref="AZ17:BC17"/>
    <mergeCell ref="A15:A19"/>
    <mergeCell ref="D15:E15"/>
    <mergeCell ref="D17:E17"/>
    <mergeCell ref="D19:E19"/>
    <mergeCell ref="H15:I15"/>
    <mergeCell ref="H17:I17"/>
    <mergeCell ref="H19:I19"/>
    <mergeCell ref="CQ9:CT9"/>
    <mergeCell ref="BM11:BP11"/>
    <mergeCell ref="AR4:AS4"/>
  </mergeCells>
  <phoneticPr fontId="1"/>
  <dataValidations count="1">
    <dataValidation type="list" allowBlank="1" showInputMessage="1" showErrorMessage="1" sqref="L32">
      <formula1>"している,していない"</formula1>
    </dataValidation>
  </dataValidations>
  <pageMargins left="0.25" right="0.25" top="0.75" bottom="0.75" header="0.3" footer="0.3"/>
  <pageSetup paperSize="9" scale="92" fitToHeight="0" orientation="landscape" r:id="rId1"/>
  <ignoredErrors>
    <ignoredError sqref="I5" unlockedFormula="1"/>
  </ignoredErrors>
  <drawing r:id="rId2"/>
  <legacyDrawing r:id="rId3"/>
  <webPublishItems count="1">
    <webPublishItem id="21255" divId="【動作確認中】R4計算書_21255" sourceType="sheet" destinationFile="C:\Users\10875\Desktop\【動作確認中】R4計算書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-0.249977111117893"/>
    <pageSetUpPr fitToPage="1"/>
  </sheetPr>
  <dimension ref="B1:AZ23"/>
  <sheetViews>
    <sheetView showGridLines="0" zoomScale="130" zoomScaleNormal="130" zoomScaleSheetLayoutView="130" workbookViewId="0">
      <selection activeCell="P38" sqref="P38"/>
    </sheetView>
  </sheetViews>
  <sheetFormatPr defaultColWidth="3.375" defaultRowHeight="20.100000000000001" customHeight="1"/>
  <cols>
    <col min="1" max="1" width="0.875" style="3" customWidth="1"/>
    <col min="2" max="6" width="3.375" style="3"/>
    <col min="7" max="7" width="0.875" style="3" customWidth="1"/>
    <col min="8" max="9" width="3.375" style="3" customWidth="1"/>
    <col min="10" max="12" width="3.375" style="3"/>
    <col min="13" max="25" width="3.375" style="3" customWidth="1"/>
    <col min="26" max="26" width="3.375" style="3"/>
    <col min="27" max="27" width="0.875" style="3" customWidth="1"/>
    <col min="28" max="46" width="3.375" style="3"/>
    <col min="47" max="47" width="0.875" style="3" customWidth="1"/>
    <col min="48" max="16384" width="3.375" style="3"/>
  </cols>
  <sheetData>
    <row r="1" spans="2:52" ht="6" customHeight="1"/>
    <row r="2" spans="2:52" ht="20.100000000000001" customHeight="1">
      <c r="H2" s="200" t="s">
        <v>151</v>
      </c>
      <c r="I2" s="200"/>
      <c r="J2" s="200"/>
      <c r="K2" s="200"/>
      <c r="L2" s="200"/>
      <c r="N2" s="200" t="s">
        <v>152</v>
      </c>
      <c r="O2" s="200"/>
      <c r="P2" s="200"/>
      <c r="Q2" s="200"/>
      <c r="R2" s="200"/>
      <c r="T2" s="200" t="s">
        <v>153</v>
      </c>
      <c r="U2" s="200"/>
      <c r="V2" s="200"/>
      <c r="W2" s="200"/>
      <c r="X2" s="200"/>
      <c r="AB2" s="200" t="s">
        <v>151</v>
      </c>
      <c r="AC2" s="200"/>
      <c r="AD2" s="200"/>
      <c r="AE2" s="200"/>
      <c r="AF2" s="200"/>
      <c r="AH2" s="200" t="s">
        <v>152</v>
      </c>
      <c r="AI2" s="200"/>
      <c r="AJ2" s="200"/>
      <c r="AK2" s="200"/>
      <c r="AL2" s="200"/>
      <c r="AN2" s="200" t="s">
        <v>153</v>
      </c>
      <c r="AO2" s="200"/>
      <c r="AP2" s="200"/>
      <c r="AQ2" s="200"/>
      <c r="AR2" s="200"/>
      <c r="AS2" s="4"/>
      <c r="AV2" s="4"/>
    </row>
    <row r="3" spans="2:52" ht="6" customHeight="1">
      <c r="B3" s="8"/>
      <c r="C3" s="8"/>
      <c r="D3" s="8"/>
      <c r="F3" s="192" t="s">
        <v>9</v>
      </c>
      <c r="H3" s="8"/>
      <c r="I3" s="8"/>
      <c r="J3" s="8"/>
      <c r="K3" s="8"/>
      <c r="L3" s="8"/>
      <c r="N3" s="8"/>
      <c r="O3" s="8"/>
      <c r="P3" s="8"/>
      <c r="Q3" s="8"/>
      <c r="R3" s="8"/>
      <c r="T3" s="8"/>
      <c r="U3" s="8"/>
      <c r="V3" s="8"/>
      <c r="W3" s="8"/>
      <c r="X3" s="8"/>
      <c r="Z3" s="192" t="s">
        <v>10</v>
      </c>
      <c r="AB3" s="8"/>
      <c r="AC3" s="8"/>
      <c r="AD3" s="8"/>
      <c r="AE3" s="8"/>
      <c r="AF3" s="8"/>
      <c r="AH3" s="8"/>
      <c r="AI3" s="8"/>
      <c r="AJ3" s="8"/>
      <c r="AK3" s="8"/>
      <c r="AL3" s="8"/>
      <c r="AN3" s="8"/>
      <c r="AO3" s="8"/>
      <c r="AP3" s="8"/>
      <c r="AQ3" s="8"/>
      <c r="AR3" s="8"/>
      <c r="AT3" s="192" t="s">
        <v>12</v>
      </c>
      <c r="AV3" s="8"/>
      <c r="AW3" s="8"/>
      <c r="AX3" s="8"/>
      <c r="AY3" s="8"/>
      <c r="AZ3" s="8"/>
    </row>
    <row r="4" spans="2:52" ht="6" customHeight="1">
      <c r="B4" s="10"/>
      <c r="C4" s="10"/>
      <c r="D4" s="10"/>
      <c r="F4" s="192"/>
      <c r="H4" s="10"/>
      <c r="I4" s="10"/>
      <c r="J4" s="10"/>
      <c r="K4" s="10"/>
      <c r="L4" s="10"/>
      <c r="N4" s="10"/>
      <c r="O4" s="10"/>
      <c r="P4" s="10"/>
      <c r="Q4" s="10"/>
      <c r="R4" s="10"/>
      <c r="T4" s="10"/>
      <c r="U4" s="10"/>
      <c r="V4" s="10"/>
      <c r="W4" s="10"/>
      <c r="X4" s="10"/>
      <c r="Z4" s="192"/>
      <c r="AB4" s="10"/>
      <c r="AC4" s="10"/>
      <c r="AD4" s="10"/>
      <c r="AE4" s="10"/>
      <c r="AF4" s="10"/>
      <c r="AH4" s="10"/>
      <c r="AI4" s="10"/>
      <c r="AJ4" s="10"/>
      <c r="AK4" s="10"/>
      <c r="AL4" s="10"/>
      <c r="AN4" s="10"/>
      <c r="AO4" s="10"/>
      <c r="AP4" s="10"/>
      <c r="AQ4" s="10"/>
      <c r="AR4" s="10"/>
      <c r="AT4" s="192"/>
      <c r="AV4" s="10"/>
      <c r="AW4" s="10"/>
      <c r="AX4" s="10"/>
      <c r="AY4" s="10"/>
      <c r="AZ4" s="10"/>
    </row>
    <row r="5" spans="2:52" ht="20.100000000000001" customHeight="1">
      <c r="B5" s="4" t="s">
        <v>13</v>
      </c>
      <c r="F5" s="192"/>
      <c r="H5" s="191">
        <f>'R7国保税試算'!AP25</f>
        <v>0</v>
      </c>
      <c r="I5" s="191"/>
      <c r="J5" s="191"/>
      <c r="K5" s="191"/>
      <c r="L5" s="90" t="s">
        <v>4</v>
      </c>
      <c r="N5" s="191">
        <f>'R7国保税試算'!AP27</f>
        <v>0</v>
      </c>
      <c r="O5" s="191"/>
      <c r="P5" s="191"/>
      <c r="Q5" s="191"/>
      <c r="R5" s="90" t="s">
        <v>4</v>
      </c>
      <c r="T5" s="191">
        <f>'R7国保税試算'!AP29</f>
        <v>0</v>
      </c>
      <c r="U5" s="191"/>
      <c r="V5" s="191"/>
      <c r="W5" s="191"/>
      <c r="X5" s="90" t="s">
        <v>4</v>
      </c>
      <c r="Z5" s="192"/>
      <c r="AB5" s="191">
        <f>'R7国保税試算'!CI25</f>
        <v>0</v>
      </c>
      <c r="AC5" s="191"/>
      <c r="AD5" s="191"/>
      <c r="AE5" s="191"/>
      <c r="AF5" s="90" t="s">
        <v>4</v>
      </c>
      <c r="AH5" s="191">
        <f>'R7国保税試算'!CI27</f>
        <v>0</v>
      </c>
      <c r="AI5" s="191"/>
      <c r="AJ5" s="191"/>
      <c r="AK5" s="191"/>
      <c r="AL5" s="90" t="s">
        <v>4</v>
      </c>
      <c r="AN5" s="191">
        <f>'R7国保税試算'!CI29</f>
        <v>0</v>
      </c>
      <c r="AO5" s="191"/>
      <c r="AP5" s="191"/>
      <c r="AQ5" s="191"/>
      <c r="AR5" s="90" t="s">
        <v>4</v>
      </c>
      <c r="AT5" s="192"/>
      <c r="AV5" s="191">
        <f>H5+N5+T5+AB5+AH5+AN5</f>
        <v>0</v>
      </c>
      <c r="AW5" s="191"/>
      <c r="AX5" s="191"/>
      <c r="AY5" s="191"/>
      <c r="AZ5" s="90" t="s">
        <v>4</v>
      </c>
    </row>
    <row r="6" spans="2:52" ht="6" customHeight="1">
      <c r="B6" s="8"/>
      <c r="C6" s="8"/>
      <c r="D6" s="8"/>
      <c r="F6" s="192"/>
      <c r="H6" s="11"/>
      <c r="I6" s="11"/>
      <c r="J6" s="11"/>
      <c r="K6" s="11"/>
      <c r="L6" s="8"/>
      <c r="N6" s="8"/>
      <c r="O6" s="8"/>
      <c r="P6" s="8"/>
      <c r="Q6" s="8"/>
      <c r="R6" s="8"/>
      <c r="T6" s="8"/>
      <c r="U6" s="8"/>
      <c r="V6" s="8"/>
      <c r="W6" s="8"/>
      <c r="X6" s="8"/>
      <c r="Z6" s="192"/>
      <c r="AB6" s="11"/>
      <c r="AC6" s="11"/>
      <c r="AD6" s="11"/>
      <c r="AE6" s="11"/>
      <c r="AF6" s="8"/>
      <c r="AH6" s="8"/>
      <c r="AI6" s="8"/>
      <c r="AJ6" s="8"/>
      <c r="AK6" s="8"/>
      <c r="AL6" s="8"/>
      <c r="AN6" s="8"/>
      <c r="AO6" s="8"/>
      <c r="AP6" s="8"/>
      <c r="AQ6" s="8"/>
      <c r="AR6" s="8"/>
      <c r="AT6" s="192"/>
      <c r="AV6" s="11"/>
      <c r="AW6" s="11"/>
      <c r="AX6" s="11"/>
      <c r="AY6" s="11"/>
      <c r="AZ6" s="8"/>
    </row>
    <row r="7" spans="2:52" ht="6" customHeight="1">
      <c r="B7" s="10"/>
      <c r="C7" s="10"/>
      <c r="D7" s="10"/>
      <c r="F7" s="192"/>
      <c r="H7" s="13"/>
      <c r="I7" s="13"/>
      <c r="J7" s="13"/>
      <c r="K7" s="13"/>
      <c r="L7" s="10"/>
      <c r="N7" s="10"/>
      <c r="O7" s="10"/>
      <c r="P7" s="10"/>
      <c r="Q7" s="10"/>
      <c r="R7" s="10"/>
      <c r="T7" s="10"/>
      <c r="U7" s="10"/>
      <c r="V7" s="10"/>
      <c r="W7" s="10"/>
      <c r="X7" s="10"/>
      <c r="Z7" s="192"/>
      <c r="AB7" s="13"/>
      <c r="AC7" s="13"/>
      <c r="AD7" s="13"/>
      <c r="AE7" s="13"/>
      <c r="AF7" s="10"/>
      <c r="AH7" s="10"/>
      <c r="AI7" s="10"/>
      <c r="AJ7" s="10"/>
      <c r="AK7" s="10"/>
      <c r="AL7" s="10"/>
      <c r="AN7" s="10"/>
      <c r="AO7" s="10"/>
      <c r="AP7" s="10"/>
      <c r="AQ7" s="10"/>
      <c r="AR7" s="10"/>
      <c r="AT7" s="192"/>
      <c r="AV7" s="13"/>
      <c r="AW7" s="13"/>
      <c r="AX7" s="13"/>
      <c r="AY7" s="13"/>
      <c r="AZ7" s="10"/>
    </row>
    <row r="8" spans="2:52" ht="20.100000000000001" customHeight="1">
      <c r="B8" s="4" t="s">
        <v>14</v>
      </c>
      <c r="F8" s="192"/>
      <c r="H8" s="191">
        <f>'R7国保税試算'!AP34</f>
        <v>0</v>
      </c>
      <c r="I8" s="191"/>
      <c r="J8" s="191"/>
      <c r="K8" s="191"/>
      <c r="L8" s="90" t="s">
        <v>4</v>
      </c>
      <c r="N8" s="191">
        <f>'R7国保税試算'!AP36</f>
        <v>0</v>
      </c>
      <c r="O8" s="191"/>
      <c r="P8" s="191"/>
      <c r="Q8" s="191"/>
      <c r="R8" s="90" t="s">
        <v>4</v>
      </c>
      <c r="T8" s="191">
        <f>'R7国保税試算'!AP38</f>
        <v>0</v>
      </c>
      <c r="U8" s="191"/>
      <c r="V8" s="191"/>
      <c r="W8" s="191"/>
      <c r="X8" s="90" t="s">
        <v>4</v>
      </c>
      <c r="Z8" s="192"/>
      <c r="AB8" s="191">
        <f>'R7国保税試算'!CI34</f>
        <v>0</v>
      </c>
      <c r="AC8" s="191"/>
      <c r="AD8" s="191"/>
      <c r="AE8" s="191"/>
      <c r="AF8" s="90" t="s">
        <v>4</v>
      </c>
      <c r="AH8" s="191">
        <f>'R7国保税試算'!CI36</f>
        <v>0</v>
      </c>
      <c r="AI8" s="191"/>
      <c r="AJ8" s="191"/>
      <c r="AK8" s="191"/>
      <c r="AL8" s="90" t="s">
        <v>4</v>
      </c>
      <c r="AN8" s="191">
        <f>'R7国保税試算'!CI38</f>
        <v>0</v>
      </c>
      <c r="AO8" s="191"/>
      <c r="AP8" s="191"/>
      <c r="AQ8" s="191"/>
      <c r="AR8" s="90" t="s">
        <v>4</v>
      </c>
      <c r="AT8" s="192"/>
      <c r="AV8" s="191">
        <f>H8+N8+T8+AB8+AH8+AN8</f>
        <v>0</v>
      </c>
      <c r="AW8" s="191"/>
      <c r="AX8" s="191"/>
      <c r="AY8" s="191"/>
      <c r="AZ8" s="90" t="s">
        <v>4</v>
      </c>
    </row>
    <row r="9" spans="2:52" ht="6" customHeight="1">
      <c r="B9" s="8"/>
      <c r="C9" s="8"/>
      <c r="D9" s="8"/>
      <c r="F9" s="192"/>
      <c r="H9" s="11"/>
      <c r="I9" s="11"/>
      <c r="J9" s="11"/>
      <c r="K9" s="11"/>
      <c r="L9" s="8"/>
      <c r="N9" s="8"/>
      <c r="O9" s="8"/>
      <c r="P9" s="8"/>
      <c r="Q9" s="8"/>
      <c r="R9" s="8"/>
      <c r="T9" s="8"/>
      <c r="U9" s="8"/>
      <c r="V9" s="8"/>
      <c r="W9" s="8"/>
      <c r="X9" s="8"/>
      <c r="Z9" s="192"/>
      <c r="AB9" s="11"/>
      <c r="AC9" s="11"/>
      <c r="AD9" s="11"/>
      <c r="AE9" s="11"/>
      <c r="AF9" s="8"/>
      <c r="AH9" s="8"/>
      <c r="AI9" s="8"/>
      <c r="AJ9" s="8"/>
      <c r="AK9" s="8"/>
      <c r="AL9" s="8"/>
      <c r="AN9" s="8"/>
      <c r="AO9" s="8"/>
      <c r="AP9" s="8"/>
      <c r="AQ9" s="8"/>
      <c r="AR9" s="8"/>
      <c r="AT9" s="192"/>
      <c r="AV9" s="11"/>
      <c r="AW9" s="11"/>
      <c r="AX9" s="11"/>
      <c r="AY9" s="11"/>
      <c r="AZ9" s="8"/>
    </row>
    <row r="10" spans="2:52" ht="6" customHeight="1">
      <c r="B10" s="10"/>
      <c r="C10" s="10"/>
      <c r="D10" s="10"/>
      <c r="F10" s="192"/>
      <c r="H10" s="13"/>
      <c r="I10" s="13"/>
      <c r="J10" s="13"/>
      <c r="K10" s="13"/>
      <c r="L10" s="10"/>
      <c r="N10" s="10"/>
      <c r="O10" s="10"/>
      <c r="P10" s="10"/>
      <c r="Q10" s="10"/>
      <c r="R10" s="10"/>
      <c r="T10" s="10"/>
      <c r="U10" s="10"/>
      <c r="V10" s="10"/>
      <c r="W10" s="10"/>
      <c r="X10" s="10"/>
      <c r="Z10" s="192"/>
      <c r="AB10" s="13"/>
      <c r="AC10" s="13"/>
      <c r="AD10" s="13"/>
      <c r="AE10" s="13"/>
      <c r="AF10" s="10"/>
      <c r="AH10" s="10"/>
      <c r="AI10" s="10"/>
      <c r="AJ10" s="10"/>
      <c r="AK10" s="10"/>
      <c r="AL10" s="10"/>
      <c r="AN10" s="10"/>
      <c r="AO10" s="10"/>
      <c r="AP10" s="10"/>
      <c r="AQ10" s="10"/>
      <c r="AR10" s="10"/>
      <c r="AT10" s="192"/>
      <c r="AV10" s="13"/>
      <c r="AW10" s="13"/>
      <c r="AX10" s="13"/>
      <c r="AY10" s="13"/>
      <c r="AZ10" s="10"/>
    </row>
    <row r="11" spans="2:52" ht="20.100000000000001" customHeight="1">
      <c r="B11" s="4" t="s">
        <v>15</v>
      </c>
      <c r="F11" s="192"/>
      <c r="H11" s="191">
        <f>'R7国保税試算'!AP43</f>
        <v>0</v>
      </c>
      <c r="I11" s="191"/>
      <c r="J11" s="191"/>
      <c r="K11" s="191"/>
      <c r="L11" s="90" t="s">
        <v>4</v>
      </c>
      <c r="N11" s="191">
        <f>'R7国保税試算'!AP45</f>
        <v>0</v>
      </c>
      <c r="O11" s="191"/>
      <c r="P11" s="191"/>
      <c r="Q11" s="191"/>
      <c r="R11" s="90" t="s">
        <v>4</v>
      </c>
      <c r="T11" s="191">
        <f>'R7国保税試算'!AP47</f>
        <v>0</v>
      </c>
      <c r="U11" s="191"/>
      <c r="V11" s="191"/>
      <c r="W11" s="191"/>
      <c r="X11" s="90" t="s">
        <v>4</v>
      </c>
      <c r="Z11" s="192"/>
      <c r="AB11" s="191">
        <f>'R7国保税試算'!CI43</f>
        <v>0</v>
      </c>
      <c r="AC11" s="191"/>
      <c r="AD11" s="191"/>
      <c r="AE11" s="191"/>
      <c r="AF11" s="90" t="s">
        <v>4</v>
      </c>
      <c r="AH11" s="191">
        <f>'R7国保税試算'!CI45</f>
        <v>0</v>
      </c>
      <c r="AI11" s="191"/>
      <c r="AJ11" s="191"/>
      <c r="AK11" s="191"/>
      <c r="AL11" s="90" t="s">
        <v>4</v>
      </c>
      <c r="AN11" s="191">
        <f>'R7国保税試算'!CI47</f>
        <v>0</v>
      </c>
      <c r="AO11" s="191"/>
      <c r="AP11" s="191"/>
      <c r="AQ11" s="191"/>
      <c r="AR11" s="90" t="s">
        <v>4</v>
      </c>
      <c r="AT11" s="192"/>
      <c r="AV11" s="191">
        <f>H11+N11+T11+AB11+AH11+AN11</f>
        <v>0</v>
      </c>
      <c r="AW11" s="191"/>
      <c r="AX11" s="191"/>
      <c r="AY11" s="191"/>
      <c r="AZ11" s="90" t="s">
        <v>4</v>
      </c>
    </row>
    <row r="12" spans="2:52" ht="6" customHeight="1">
      <c r="B12" s="8"/>
      <c r="C12" s="8"/>
      <c r="D12" s="8"/>
      <c r="F12" s="192"/>
      <c r="H12" s="11"/>
      <c r="I12" s="11"/>
      <c r="J12" s="11"/>
      <c r="K12" s="11"/>
      <c r="L12" s="8"/>
      <c r="N12" s="8"/>
      <c r="O12" s="8"/>
      <c r="P12" s="8"/>
      <c r="Q12" s="8"/>
      <c r="R12" s="8"/>
      <c r="T12" s="8"/>
      <c r="U12" s="8"/>
      <c r="V12" s="8"/>
      <c r="W12" s="8"/>
      <c r="X12" s="8"/>
      <c r="Z12" s="192"/>
      <c r="AB12" s="11"/>
      <c r="AC12" s="11"/>
      <c r="AD12" s="11"/>
      <c r="AE12" s="11"/>
      <c r="AF12" s="8"/>
      <c r="AH12" s="8"/>
      <c r="AI12" s="8"/>
      <c r="AJ12" s="8"/>
      <c r="AK12" s="8"/>
      <c r="AL12" s="8"/>
      <c r="AN12" s="8"/>
      <c r="AO12" s="8"/>
      <c r="AP12" s="8"/>
      <c r="AQ12" s="8"/>
      <c r="AR12" s="8"/>
      <c r="AT12" s="192"/>
      <c r="AV12" s="11"/>
      <c r="AW12" s="11"/>
      <c r="AX12" s="11"/>
      <c r="AY12" s="11"/>
      <c r="AZ12" s="8"/>
    </row>
    <row r="13" spans="2:52" ht="6" customHeight="1">
      <c r="B13" s="10"/>
      <c r="C13" s="10"/>
      <c r="D13" s="10"/>
      <c r="F13" s="192"/>
      <c r="H13" s="13"/>
      <c r="I13" s="13"/>
      <c r="J13" s="13"/>
      <c r="K13" s="13"/>
      <c r="L13" s="10"/>
      <c r="N13" s="10"/>
      <c r="O13" s="10"/>
      <c r="P13" s="10"/>
      <c r="Q13" s="10"/>
      <c r="R13" s="10"/>
      <c r="T13" s="10"/>
      <c r="U13" s="10"/>
      <c r="V13" s="10"/>
      <c r="W13" s="10"/>
      <c r="X13" s="10"/>
      <c r="Z13" s="192"/>
      <c r="AB13" s="13"/>
      <c r="AC13" s="13"/>
      <c r="AD13" s="13"/>
      <c r="AE13" s="13"/>
      <c r="AF13" s="10"/>
      <c r="AH13" s="10"/>
      <c r="AI13" s="10"/>
      <c r="AJ13" s="10"/>
      <c r="AK13" s="10"/>
      <c r="AL13" s="10"/>
      <c r="AN13" s="10"/>
      <c r="AO13" s="10"/>
      <c r="AP13" s="10"/>
      <c r="AQ13" s="10"/>
      <c r="AR13" s="10"/>
      <c r="AT13" s="192"/>
      <c r="AV13" s="13"/>
      <c r="AW13" s="13"/>
      <c r="AX13" s="13"/>
      <c r="AY13" s="13"/>
      <c r="AZ13" s="10"/>
    </row>
    <row r="14" spans="2:52" ht="20.100000000000001" customHeight="1">
      <c r="B14" s="4" t="s">
        <v>16</v>
      </c>
      <c r="F14" s="192"/>
      <c r="H14" s="191">
        <f>'R7国保税試算'!AP52</f>
        <v>0</v>
      </c>
      <c r="I14" s="191"/>
      <c r="J14" s="191"/>
      <c r="K14" s="191"/>
      <c r="L14" s="90" t="s">
        <v>4</v>
      </c>
      <c r="N14" s="191">
        <f>'R7国保税試算'!AP54</f>
        <v>0</v>
      </c>
      <c r="O14" s="191"/>
      <c r="P14" s="191"/>
      <c r="Q14" s="191"/>
      <c r="R14" s="90" t="s">
        <v>4</v>
      </c>
      <c r="T14" s="191">
        <f>'R7国保税試算'!AP56</f>
        <v>0</v>
      </c>
      <c r="U14" s="191"/>
      <c r="V14" s="191"/>
      <c r="W14" s="191"/>
      <c r="X14" s="90" t="s">
        <v>4</v>
      </c>
      <c r="Z14" s="192"/>
      <c r="AB14" s="191">
        <f>'R7国保税試算'!CI52</f>
        <v>0</v>
      </c>
      <c r="AC14" s="191"/>
      <c r="AD14" s="191"/>
      <c r="AE14" s="191"/>
      <c r="AF14" s="90" t="s">
        <v>4</v>
      </c>
      <c r="AH14" s="191">
        <f>'R7国保税試算'!CI54</f>
        <v>0</v>
      </c>
      <c r="AI14" s="191"/>
      <c r="AJ14" s="191"/>
      <c r="AK14" s="191"/>
      <c r="AL14" s="90" t="s">
        <v>4</v>
      </c>
      <c r="AN14" s="191">
        <f>'R7国保税試算'!CI56</f>
        <v>0</v>
      </c>
      <c r="AO14" s="191"/>
      <c r="AP14" s="191"/>
      <c r="AQ14" s="191"/>
      <c r="AR14" s="90" t="s">
        <v>4</v>
      </c>
      <c r="AT14" s="192"/>
      <c r="AV14" s="191">
        <f>H14+N14+T14+AB14+AH14+AN14</f>
        <v>0</v>
      </c>
      <c r="AW14" s="191"/>
      <c r="AX14" s="191"/>
      <c r="AY14" s="191"/>
      <c r="AZ14" s="90" t="s">
        <v>4</v>
      </c>
    </row>
    <row r="15" spans="2:52" ht="6" customHeight="1">
      <c r="B15" s="8"/>
      <c r="C15" s="8"/>
      <c r="D15" s="8"/>
      <c r="F15" s="192"/>
      <c r="H15" s="11"/>
      <c r="I15" s="11"/>
      <c r="J15" s="11"/>
      <c r="K15" s="11"/>
      <c r="L15" s="8"/>
      <c r="N15" s="8"/>
      <c r="O15" s="8"/>
      <c r="P15" s="8"/>
      <c r="Q15" s="8"/>
      <c r="R15" s="8"/>
      <c r="T15" s="8"/>
      <c r="U15" s="8"/>
      <c r="V15" s="8"/>
      <c r="W15" s="8"/>
      <c r="X15" s="8"/>
      <c r="Z15" s="192"/>
      <c r="AB15" s="11"/>
      <c r="AC15" s="11"/>
      <c r="AD15" s="11"/>
      <c r="AE15" s="11"/>
      <c r="AF15" s="8"/>
      <c r="AH15" s="8"/>
      <c r="AI15" s="8"/>
      <c r="AJ15" s="8"/>
      <c r="AK15" s="8"/>
      <c r="AL15" s="8"/>
      <c r="AN15" s="8"/>
      <c r="AO15" s="8"/>
      <c r="AP15" s="8"/>
      <c r="AQ15" s="8"/>
      <c r="AR15" s="8"/>
      <c r="AT15" s="192"/>
      <c r="AV15" s="11"/>
      <c r="AW15" s="11"/>
      <c r="AX15" s="11"/>
      <c r="AY15" s="11"/>
      <c r="AZ15" s="8"/>
    </row>
    <row r="16" spans="2:52" ht="6" customHeight="1">
      <c r="B16" s="10"/>
      <c r="C16" s="10"/>
      <c r="D16" s="10"/>
      <c r="F16" s="192"/>
      <c r="H16" s="13"/>
      <c r="I16" s="13"/>
      <c r="J16" s="13"/>
      <c r="K16" s="13"/>
      <c r="L16" s="10"/>
      <c r="N16" s="10"/>
      <c r="O16" s="10"/>
      <c r="P16" s="10"/>
      <c r="Q16" s="10"/>
      <c r="R16" s="10"/>
      <c r="T16" s="10"/>
      <c r="U16" s="10"/>
      <c r="V16" s="10"/>
      <c r="W16" s="10"/>
      <c r="X16" s="10"/>
      <c r="Z16" s="192"/>
      <c r="AB16" s="13"/>
      <c r="AC16" s="13"/>
      <c r="AD16" s="13"/>
      <c r="AE16" s="13"/>
      <c r="AF16" s="10"/>
      <c r="AH16" s="10"/>
      <c r="AI16" s="10"/>
      <c r="AJ16" s="10"/>
      <c r="AK16" s="10"/>
      <c r="AL16" s="10"/>
      <c r="AN16" s="10"/>
      <c r="AO16" s="10"/>
      <c r="AP16" s="10"/>
      <c r="AQ16" s="10"/>
      <c r="AR16" s="10"/>
      <c r="AT16" s="192"/>
      <c r="AV16" s="13"/>
      <c r="AW16" s="13"/>
      <c r="AX16" s="13"/>
      <c r="AY16" s="13"/>
      <c r="AZ16" s="10"/>
    </row>
    <row r="17" spans="2:52" ht="20.100000000000001" customHeight="1">
      <c r="B17" s="4" t="s">
        <v>17</v>
      </c>
      <c r="F17" s="192"/>
      <c r="H17" s="191">
        <f>'R7国保税試算'!AP61</f>
        <v>0</v>
      </c>
      <c r="I17" s="191"/>
      <c r="J17" s="191"/>
      <c r="K17" s="191"/>
      <c r="L17" s="90" t="s">
        <v>4</v>
      </c>
      <c r="N17" s="191">
        <f>'R7国保税試算'!AP63</f>
        <v>0</v>
      </c>
      <c r="O17" s="191"/>
      <c r="P17" s="191"/>
      <c r="Q17" s="191"/>
      <c r="R17" s="90" t="s">
        <v>4</v>
      </c>
      <c r="T17" s="191">
        <f>'R7国保税試算'!AP65</f>
        <v>0</v>
      </c>
      <c r="U17" s="191"/>
      <c r="V17" s="191"/>
      <c r="W17" s="191"/>
      <c r="X17" s="90" t="s">
        <v>4</v>
      </c>
      <c r="Z17" s="192"/>
      <c r="AB17" s="191">
        <f>'R7国保税試算'!CI61</f>
        <v>0</v>
      </c>
      <c r="AC17" s="191"/>
      <c r="AD17" s="191"/>
      <c r="AE17" s="191"/>
      <c r="AF17" s="90" t="s">
        <v>4</v>
      </c>
      <c r="AH17" s="191">
        <f>'R7国保税試算'!CI63</f>
        <v>0</v>
      </c>
      <c r="AI17" s="191"/>
      <c r="AJ17" s="191"/>
      <c r="AK17" s="191"/>
      <c r="AL17" s="90" t="s">
        <v>4</v>
      </c>
      <c r="AN17" s="191">
        <f>'R7国保税試算'!CI65</f>
        <v>0</v>
      </c>
      <c r="AO17" s="191"/>
      <c r="AP17" s="191"/>
      <c r="AQ17" s="191"/>
      <c r="AR17" s="90" t="s">
        <v>4</v>
      </c>
      <c r="AT17" s="192"/>
      <c r="AV17" s="191">
        <f>H17+N17+T17+AB17+AH17+AN17</f>
        <v>0</v>
      </c>
      <c r="AW17" s="191"/>
      <c r="AX17" s="191"/>
      <c r="AY17" s="191"/>
      <c r="AZ17" s="90" t="s">
        <v>4</v>
      </c>
    </row>
    <row r="18" spans="2:52" ht="6" customHeight="1">
      <c r="B18" s="8"/>
      <c r="C18" s="8"/>
      <c r="D18" s="8"/>
      <c r="F18" s="192"/>
      <c r="H18" s="11"/>
      <c r="I18" s="11"/>
      <c r="J18" s="11"/>
      <c r="K18" s="11"/>
      <c r="L18" s="8"/>
      <c r="N18" s="8"/>
      <c r="O18" s="8"/>
      <c r="P18" s="8"/>
      <c r="Q18" s="8"/>
      <c r="R18" s="8"/>
      <c r="T18" s="8"/>
      <c r="U18" s="8"/>
      <c r="V18" s="8"/>
      <c r="W18" s="8"/>
      <c r="X18" s="8"/>
      <c r="Z18" s="192"/>
      <c r="AB18" s="11"/>
      <c r="AC18" s="11"/>
      <c r="AD18" s="11"/>
      <c r="AE18" s="11"/>
      <c r="AF18" s="8"/>
      <c r="AH18" s="8"/>
      <c r="AI18" s="8"/>
      <c r="AJ18" s="8"/>
      <c r="AK18" s="8"/>
      <c r="AL18" s="8"/>
      <c r="AN18" s="8"/>
      <c r="AO18" s="8"/>
      <c r="AP18" s="8"/>
      <c r="AQ18" s="8"/>
      <c r="AR18" s="8"/>
      <c r="AT18" s="192"/>
      <c r="AV18" s="11"/>
      <c r="AW18" s="11"/>
      <c r="AX18" s="11"/>
      <c r="AY18" s="11"/>
      <c r="AZ18" s="8"/>
    </row>
    <row r="19" spans="2:52" ht="6" customHeight="1">
      <c r="B19" s="10"/>
      <c r="C19" s="10"/>
      <c r="D19" s="10"/>
      <c r="F19" s="192"/>
      <c r="H19" s="13"/>
      <c r="I19" s="13"/>
      <c r="J19" s="13"/>
      <c r="K19" s="13"/>
      <c r="L19" s="10"/>
      <c r="N19" s="10"/>
      <c r="O19" s="10"/>
      <c r="P19" s="10"/>
      <c r="Q19" s="10"/>
      <c r="R19" s="10"/>
      <c r="T19" s="10"/>
      <c r="U19" s="10"/>
      <c r="V19" s="10"/>
      <c r="W19" s="10"/>
      <c r="X19" s="10"/>
      <c r="Z19" s="192"/>
      <c r="AB19" s="13"/>
      <c r="AC19" s="13"/>
      <c r="AD19" s="13"/>
      <c r="AE19" s="13"/>
      <c r="AF19" s="10"/>
      <c r="AH19" s="10"/>
      <c r="AI19" s="10"/>
      <c r="AJ19" s="10"/>
      <c r="AK19" s="10"/>
      <c r="AL19" s="10"/>
      <c r="AN19" s="10"/>
      <c r="AO19" s="10"/>
      <c r="AP19" s="10"/>
      <c r="AQ19" s="10"/>
      <c r="AR19" s="10"/>
      <c r="AT19" s="192"/>
      <c r="AV19" s="13"/>
      <c r="AW19" s="13"/>
      <c r="AX19" s="13"/>
      <c r="AY19" s="13"/>
      <c r="AZ19" s="10"/>
    </row>
    <row r="20" spans="2:52" ht="20.100000000000001" customHeight="1">
      <c r="B20" s="4" t="s">
        <v>18</v>
      </c>
      <c r="F20" s="192"/>
      <c r="H20" s="191">
        <f>'R7国保税試算'!AP70</f>
        <v>0</v>
      </c>
      <c r="I20" s="191"/>
      <c r="J20" s="191"/>
      <c r="K20" s="191"/>
      <c r="L20" s="90" t="s">
        <v>4</v>
      </c>
      <c r="N20" s="191">
        <f>'R7国保税試算'!AP72</f>
        <v>0</v>
      </c>
      <c r="O20" s="191"/>
      <c r="P20" s="191"/>
      <c r="Q20" s="191"/>
      <c r="R20" s="90" t="s">
        <v>4</v>
      </c>
      <c r="T20" s="191">
        <f>'R7国保税試算'!AP74</f>
        <v>0</v>
      </c>
      <c r="U20" s="191"/>
      <c r="V20" s="191"/>
      <c r="W20" s="191"/>
      <c r="X20" s="90" t="s">
        <v>4</v>
      </c>
      <c r="Z20" s="192"/>
      <c r="AB20" s="191">
        <f>'R7国保税試算'!CI70</f>
        <v>0</v>
      </c>
      <c r="AC20" s="191"/>
      <c r="AD20" s="191"/>
      <c r="AE20" s="191"/>
      <c r="AF20" s="90" t="s">
        <v>4</v>
      </c>
      <c r="AH20" s="191">
        <f>'R7国保税試算'!CI72</f>
        <v>0</v>
      </c>
      <c r="AI20" s="191"/>
      <c r="AJ20" s="191"/>
      <c r="AK20" s="191"/>
      <c r="AL20" s="90" t="s">
        <v>4</v>
      </c>
      <c r="AN20" s="191">
        <f>'R7国保税試算'!CI74</f>
        <v>0</v>
      </c>
      <c r="AO20" s="191"/>
      <c r="AP20" s="191"/>
      <c r="AQ20" s="191"/>
      <c r="AR20" s="90" t="s">
        <v>4</v>
      </c>
      <c r="AT20" s="192"/>
      <c r="AV20" s="191">
        <f>H20+N20+T20+AB20+AH20+AN20</f>
        <v>0</v>
      </c>
      <c r="AW20" s="191"/>
      <c r="AX20" s="191"/>
      <c r="AY20" s="191"/>
      <c r="AZ20" s="90" t="s">
        <v>4</v>
      </c>
    </row>
    <row r="21" spans="2:52" ht="6" customHeight="1">
      <c r="B21" s="8"/>
      <c r="C21" s="8"/>
      <c r="D21" s="8"/>
      <c r="F21" s="192"/>
      <c r="H21" s="11"/>
      <c r="I21" s="11"/>
      <c r="J21" s="11"/>
      <c r="K21" s="11"/>
      <c r="L21" s="8"/>
      <c r="N21" s="8"/>
      <c r="O21" s="8"/>
      <c r="P21" s="8"/>
      <c r="Q21" s="8"/>
      <c r="R21" s="8"/>
      <c r="T21" s="8"/>
      <c r="U21" s="8"/>
      <c r="V21" s="8"/>
      <c r="W21" s="8"/>
      <c r="X21" s="8"/>
      <c r="Z21" s="192"/>
      <c r="AB21" s="11"/>
      <c r="AC21" s="11"/>
      <c r="AD21" s="11"/>
      <c r="AE21" s="11"/>
      <c r="AF21" s="8"/>
      <c r="AH21" s="8"/>
      <c r="AI21" s="8"/>
      <c r="AJ21" s="8"/>
      <c r="AK21" s="8"/>
      <c r="AL21" s="8"/>
      <c r="AN21" s="8"/>
      <c r="AO21" s="8"/>
      <c r="AP21" s="8"/>
      <c r="AQ21" s="8"/>
      <c r="AR21" s="8"/>
      <c r="AT21" s="192"/>
      <c r="AV21" s="11"/>
      <c r="AW21" s="11"/>
      <c r="AX21" s="11"/>
      <c r="AY21" s="11"/>
      <c r="AZ21" s="8"/>
    </row>
    <row r="22" spans="2:52" ht="6" customHeight="1">
      <c r="B22" s="10"/>
      <c r="C22" s="10"/>
      <c r="D22" s="10"/>
      <c r="F22" s="192"/>
      <c r="H22" s="13"/>
      <c r="I22" s="13"/>
      <c r="J22" s="13"/>
      <c r="K22" s="13"/>
      <c r="L22" s="10"/>
      <c r="N22" s="10"/>
      <c r="O22" s="10"/>
      <c r="P22" s="10"/>
      <c r="Q22" s="10"/>
      <c r="R22" s="10"/>
      <c r="T22" s="10"/>
      <c r="U22" s="10"/>
      <c r="V22" s="10"/>
      <c r="W22" s="10"/>
      <c r="X22" s="10"/>
      <c r="Z22" s="192"/>
      <c r="AB22" s="13"/>
      <c r="AC22" s="13"/>
      <c r="AD22" s="13"/>
      <c r="AE22" s="13"/>
      <c r="AF22" s="10"/>
      <c r="AH22" s="10"/>
      <c r="AI22" s="10"/>
      <c r="AJ22" s="10"/>
      <c r="AK22" s="10"/>
      <c r="AL22" s="10"/>
      <c r="AN22" s="10"/>
      <c r="AO22" s="10"/>
      <c r="AP22" s="10"/>
      <c r="AQ22" s="10"/>
      <c r="AR22" s="10"/>
      <c r="AT22" s="192"/>
      <c r="AV22" s="13"/>
      <c r="AW22" s="13"/>
      <c r="AX22" s="13"/>
      <c r="AY22" s="13"/>
      <c r="AZ22" s="10"/>
    </row>
    <row r="23" spans="2:52" ht="20.100000000000001" customHeight="1">
      <c r="F23" s="15" t="s">
        <v>154</v>
      </c>
    </row>
  </sheetData>
  <sheetProtection password="82E7" sheet="1" selectLockedCells="1"/>
  <mergeCells count="51">
    <mergeCell ref="F3:F22"/>
    <mergeCell ref="AV8:AY8"/>
    <mergeCell ref="AV5:AY5"/>
    <mergeCell ref="AH8:AK8"/>
    <mergeCell ref="AN8:AQ8"/>
    <mergeCell ref="AT3:AT22"/>
    <mergeCell ref="AV20:AY20"/>
    <mergeCell ref="AV17:AY17"/>
    <mergeCell ref="AV14:AY14"/>
    <mergeCell ref="AH20:AK20"/>
    <mergeCell ref="AV11:AY11"/>
    <mergeCell ref="H20:K20"/>
    <mergeCell ref="H14:K14"/>
    <mergeCell ref="H17:K17"/>
    <mergeCell ref="H11:K11"/>
    <mergeCell ref="H5:K5"/>
    <mergeCell ref="H8:K8"/>
    <mergeCell ref="H2:L2"/>
    <mergeCell ref="N2:R2"/>
    <mergeCell ref="T2:X2"/>
    <mergeCell ref="N5:Q5"/>
    <mergeCell ref="T5:W5"/>
    <mergeCell ref="AN17:AQ17"/>
    <mergeCell ref="AB20:AE20"/>
    <mergeCell ref="AN20:AQ20"/>
    <mergeCell ref="N20:Q20"/>
    <mergeCell ref="T8:W8"/>
    <mergeCell ref="T11:W11"/>
    <mergeCell ref="T14:W14"/>
    <mergeCell ref="T17:W17"/>
    <mergeCell ref="T20:W20"/>
    <mergeCell ref="N8:Q8"/>
    <mergeCell ref="N11:Q11"/>
    <mergeCell ref="N14:Q14"/>
    <mergeCell ref="N17:Q17"/>
    <mergeCell ref="AB2:AF2"/>
    <mergeCell ref="AH2:AL2"/>
    <mergeCell ref="AN2:AR2"/>
    <mergeCell ref="Z3:Z22"/>
    <mergeCell ref="AB5:AE5"/>
    <mergeCell ref="AH5:AK5"/>
    <mergeCell ref="AN5:AQ5"/>
    <mergeCell ref="AB8:AE8"/>
    <mergeCell ref="AB11:AE11"/>
    <mergeCell ref="AH11:AK11"/>
    <mergeCell ref="AN11:AQ11"/>
    <mergeCell ref="AB14:AE14"/>
    <mergeCell ref="AH14:AK14"/>
    <mergeCell ref="AN14:AQ14"/>
    <mergeCell ref="AB17:AE17"/>
    <mergeCell ref="AH17:AK17"/>
  </mergeCells>
  <phoneticPr fontId="1"/>
  <pageMargins left="0.25" right="0.25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U81"/>
  <sheetViews>
    <sheetView showGridLines="0" zoomScaleNormal="100" zoomScaleSheetLayoutView="130" workbookViewId="0"/>
  </sheetViews>
  <sheetFormatPr defaultColWidth="3.375" defaultRowHeight="20.100000000000001" customHeight="1"/>
  <cols>
    <col min="1" max="1" width="3.375" style="3"/>
    <col min="2" max="2" width="0.875" style="2" customWidth="1"/>
    <col min="3" max="18" width="3.375" style="3"/>
    <col min="19" max="19" width="0.875" style="3" customWidth="1"/>
    <col min="20" max="22" width="3.375" style="3"/>
    <col min="23" max="24" width="3.375" style="3" hidden="1" customWidth="1"/>
    <col min="25" max="25" width="0.875" style="3" hidden="1" customWidth="1"/>
    <col min="26" max="32" width="3.375" style="3" hidden="1" customWidth="1"/>
    <col min="33" max="33" width="0.875" style="3" hidden="1" customWidth="1"/>
    <col min="34" max="38" width="3.375" style="3" hidden="1" customWidth="1"/>
    <col min="39" max="39" width="3.375" style="3" customWidth="1"/>
    <col min="40" max="40" width="3.375" style="3"/>
    <col min="41" max="41" width="0.875" style="3" customWidth="1"/>
    <col min="42" max="46" width="3.375" style="3"/>
    <col min="47" max="48" width="3.375" style="3" hidden="1" customWidth="1"/>
    <col min="49" max="49" width="0.875" style="3" hidden="1" customWidth="1"/>
    <col min="50" max="56" width="3.375" style="3" hidden="1" customWidth="1"/>
    <col min="57" max="57" width="0.875" style="3" hidden="1" customWidth="1"/>
    <col min="58" max="61" width="3.375" style="3" hidden="1" customWidth="1"/>
    <col min="62" max="62" width="0.875" style="3" hidden="1" customWidth="1"/>
    <col min="63" max="69" width="3.375" style="3" hidden="1" customWidth="1"/>
    <col min="70" max="70" width="0.875" style="3" hidden="1" customWidth="1"/>
    <col min="71" max="77" width="3.375" style="3" hidden="1" customWidth="1"/>
    <col min="78" max="78" width="0.875" style="3" hidden="1" customWidth="1"/>
    <col min="79" max="83" width="3.375" style="3" hidden="1" customWidth="1"/>
    <col min="84" max="84" width="3.375" style="3" customWidth="1"/>
    <col min="85" max="85" width="3.375" style="3"/>
    <col min="86" max="86" width="0.875" style="3" customWidth="1"/>
    <col min="87" max="93" width="3.375" style="3"/>
    <col min="94" max="94" width="0.875" style="3" customWidth="1"/>
    <col min="95" max="16384" width="3.375" style="3"/>
  </cols>
  <sheetData>
    <row r="1" spans="1:99" ht="20.100000000000001" customHeight="1">
      <c r="A1" s="1" t="s">
        <v>166</v>
      </c>
      <c r="R1" s="1"/>
    </row>
    <row r="2" spans="1:99" ht="20.100000000000001" customHeight="1">
      <c r="A2" s="180" t="s">
        <v>167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0"/>
      <c r="CN2" s="180"/>
      <c r="CO2" s="180"/>
      <c r="CP2" s="180"/>
      <c r="CQ2" s="180"/>
      <c r="CR2" s="180"/>
      <c r="CS2" s="180"/>
      <c r="CT2" s="180"/>
      <c r="CU2" s="180"/>
    </row>
    <row r="3" spans="1:99" ht="20.100000000000001" customHeight="1">
      <c r="A3" s="174"/>
      <c r="AR3" s="4" t="s">
        <v>3</v>
      </c>
      <c r="CI3" s="4" t="s">
        <v>22</v>
      </c>
      <c r="CQ3" s="4" t="s">
        <v>21</v>
      </c>
    </row>
    <row r="4" spans="1:99" ht="20.100000000000001" customHeight="1">
      <c r="O4" s="86"/>
      <c r="AR4" s="186" t="str">
        <f>IF(BF23="","",IF(BF23=0.7,7,IF(BF23=0.5,5,IF(BF23=0.2,2,""))))</f>
        <v/>
      </c>
      <c r="AS4" s="186"/>
      <c r="AT4" s="5" t="s">
        <v>2</v>
      </c>
      <c r="CI4" s="185">
        <f>ROUNDDOWN(CQ4/12,-2)</f>
        <v>41400</v>
      </c>
      <c r="CJ4" s="185"/>
      <c r="CK4" s="185"/>
      <c r="CL4" s="185"/>
      <c r="CM4" s="5" t="s">
        <v>4</v>
      </c>
      <c r="CQ4" s="185">
        <f>IF(AND(CQ7=0,AZ15&lt;=CQ9),AZ15-(CA32+CA41+CA50+CA59+CA68),IF(AND(CQ7=0,CQ9&lt;AZ15),CQ9,IF(AND(CQ9=0,AZ17&lt;=CQ7),AZ17-(CA32+CA41+CA50+CA59+CA68),IF(AND(CQ9=0,CQ7&lt;AZ17),CQ7,0))))</f>
        <v>497200</v>
      </c>
      <c r="CR4" s="185"/>
      <c r="CS4" s="185"/>
      <c r="CT4" s="185"/>
      <c r="CU4" s="5" t="s">
        <v>4</v>
      </c>
    </row>
    <row r="5" spans="1:99" ht="19.5" customHeight="1">
      <c r="A5" s="85"/>
      <c r="C5" s="4" t="s">
        <v>1</v>
      </c>
      <c r="D5" s="2"/>
      <c r="I5" s="87">
        <f>IF(L32="している",COUNT(T23:U68),IF(L32="していない",COUNT(T32:U68),""))</f>
        <v>4</v>
      </c>
      <c r="J5" s="175" t="s">
        <v>0</v>
      </c>
      <c r="CQ5" s="4"/>
    </row>
    <row r="6" spans="1:99" ht="6" hidden="1" customHeight="1">
      <c r="C6" s="4"/>
      <c r="D6" s="2"/>
      <c r="I6" s="82"/>
      <c r="J6" s="175"/>
      <c r="CQ6" s="4"/>
    </row>
    <row r="7" spans="1:99" ht="20.100000000000001" hidden="1" customHeight="1">
      <c r="A7" s="84"/>
      <c r="C7" s="4"/>
      <c r="D7" s="2"/>
      <c r="I7" s="82"/>
      <c r="J7" s="175"/>
      <c r="CI7" s="4" t="s">
        <v>156</v>
      </c>
      <c r="CL7" s="4"/>
      <c r="CQ7" s="185">
        <f>IF(OR(D15="あり",D17="あり",D19="あり",H15="あり",H17="あり",H19="あり"),SUM(CQ23+CQ32+CQ41+CQ50+CQ59+CQ68),0)</f>
        <v>497200</v>
      </c>
      <c r="CR7" s="185"/>
      <c r="CS7" s="185"/>
      <c r="CT7" s="185"/>
      <c r="CU7" s="5" t="s">
        <v>4</v>
      </c>
    </row>
    <row r="8" spans="1:99" ht="6" hidden="1" customHeight="1">
      <c r="A8" s="2"/>
      <c r="C8" s="4"/>
      <c r="D8" s="2"/>
      <c r="I8" s="82"/>
      <c r="J8" s="175"/>
      <c r="CQ8" s="4"/>
    </row>
    <row r="9" spans="1:99" ht="20.100000000000001" hidden="1" customHeight="1">
      <c r="A9" s="183" t="s">
        <v>3</v>
      </c>
      <c r="B9" s="6"/>
      <c r="C9" s="175">
        <v>7</v>
      </c>
      <c r="D9" s="3" t="s">
        <v>2</v>
      </c>
      <c r="E9" s="181">
        <v>430000</v>
      </c>
      <c r="F9" s="181"/>
      <c r="G9" s="181"/>
      <c r="H9" s="181"/>
      <c r="I9" s="175" t="s">
        <v>4</v>
      </c>
      <c r="R9" s="183" t="s">
        <v>133</v>
      </c>
      <c r="S9" s="6"/>
      <c r="T9" s="182" t="s">
        <v>130</v>
      </c>
      <c r="U9" s="182"/>
      <c r="V9" s="199">
        <v>6.72</v>
      </c>
      <c r="W9" s="199"/>
      <c r="X9" s="199"/>
      <c r="Y9" s="199"/>
      <c r="Z9" s="175" t="s">
        <v>134</v>
      </c>
      <c r="AA9" s="175"/>
      <c r="AN9" s="183" t="s">
        <v>136</v>
      </c>
      <c r="AO9" s="175"/>
      <c r="AP9" s="198">
        <v>430000</v>
      </c>
      <c r="AQ9" s="198"/>
      <c r="AR9" s="198"/>
      <c r="AS9" s="198"/>
      <c r="AT9" s="175" t="s">
        <v>4</v>
      </c>
      <c r="AV9" s="183" t="s">
        <v>158</v>
      </c>
      <c r="AW9" s="175"/>
      <c r="AX9" s="182" t="s">
        <v>130</v>
      </c>
      <c r="AY9" s="182"/>
      <c r="AZ9" s="181">
        <v>660000</v>
      </c>
      <c r="BA9" s="181"/>
      <c r="BB9" s="181"/>
      <c r="BC9" s="181"/>
      <c r="BD9" s="175" t="s">
        <v>4</v>
      </c>
      <c r="BE9" s="175"/>
      <c r="BF9" s="175"/>
      <c r="BG9" s="175"/>
      <c r="BH9" s="175"/>
      <c r="BI9" s="183" t="s">
        <v>135</v>
      </c>
      <c r="BJ9" s="6"/>
      <c r="BK9" s="182" t="s">
        <v>130</v>
      </c>
      <c r="BL9" s="182"/>
      <c r="BM9" s="181">
        <v>35800</v>
      </c>
      <c r="BN9" s="181"/>
      <c r="BO9" s="181"/>
      <c r="BP9" s="181"/>
      <c r="BQ9" s="175" t="s">
        <v>4</v>
      </c>
      <c r="BR9" s="175"/>
      <c r="BS9" s="175"/>
      <c r="BT9" s="175"/>
      <c r="BU9" s="175"/>
      <c r="BV9" s="175"/>
      <c r="BW9" s="175"/>
      <c r="CI9" s="4" t="s">
        <v>157</v>
      </c>
      <c r="CL9" s="4"/>
      <c r="CQ9" s="185">
        <f>IF(AND(D15="なし",D17="なし",D19="なし",H15="なし",H17="なし",H19="なし"),SUM(CQ23+CQ32+CQ41+CQ50+CQ59+CQ68),0)</f>
        <v>0</v>
      </c>
      <c r="CR9" s="185"/>
      <c r="CS9" s="185"/>
      <c r="CT9" s="185"/>
      <c r="CU9" s="5" t="s">
        <v>4</v>
      </c>
    </row>
    <row r="10" spans="1:99" ht="6" hidden="1" customHeight="1">
      <c r="A10" s="183"/>
      <c r="B10" s="6"/>
      <c r="C10" s="175"/>
      <c r="E10" s="7"/>
      <c r="F10" s="7"/>
      <c r="G10" s="7"/>
      <c r="H10" s="7"/>
      <c r="I10" s="175"/>
      <c r="R10" s="183"/>
      <c r="S10" s="6"/>
      <c r="T10" s="175"/>
      <c r="V10" s="176"/>
      <c r="W10" s="176"/>
      <c r="X10" s="176"/>
      <c r="Y10" s="176"/>
      <c r="AN10" s="183"/>
      <c r="AO10" s="175"/>
      <c r="AV10" s="183"/>
      <c r="AW10" s="175"/>
      <c r="AX10" s="175"/>
      <c r="AZ10" s="176"/>
      <c r="BA10" s="176"/>
      <c r="BB10" s="176"/>
      <c r="BC10" s="176"/>
      <c r="BI10" s="183"/>
      <c r="BJ10" s="6"/>
      <c r="BK10" s="175"/>
      <c r="BM10" s="176"/>
      <c r="BN10" s="176"/>
      <c r="BO10" s="176"/>
      <c r="BP10" s="176"/>
      <c r="CQ10" s="4"/>
    </row>
    <row r="11" spans="1:99" ht="20.100000000000001" hidden="1" customHeight="1">
      <c r="A11" s="183"/>
      <c r="B11" s="6"/>
      <c r="C11" s="175">
        <v>5</v>
      </c>
      <c r="D11" s="3" t="s">
        <v>2</v>
      </c>
      <c r="E11" s="184">
        <f>IF($I$5="","",$AP$9+K11*$I$5)</f>
        <v>1650000</v>
      </c>
      <c r="F11" s="184"/>
      <c r="G11" s="184"/>
      <c r="H11" s="184"/>
      <c r="I11" s="175" t="s">
        <v>4</v>
      </c>
      <c r="K11" s="181">
        <v>305000</v>
      </c>
      <c r="L11" s="181"/>
      <c r="M11" s="181"/>
      <c r="N11" s="181"/>
      <c r="O11" s="175" t="s">
        <v>4</v>
      </c>
      <c r="R11" s="183"/>
      <c r="S11" s="6"/>
      <c r="T11" s="182" t="s">
        <v>131</v>
      </c>
      <c r="U11" s="182"/>
      <c r="V11" s="199">
        <v>2.85</v>
      </c>
      <c r="W11" s="199"/>
      <c r="X11" s="199"/>
      <c r="Y11" s="199"/>
      <c r="Z11" s="175" t="s">
        <v>134</v>
      </c>
      <c r="AA11" s="175"/>
      <c r="AN11" s="183"/>
      <c r="AO11" s="175"/>
      <c r="AV11" s="183"/>
      <c r="AW11" s="175"/>
      <c r="AX11" s="182" t="s">
        <v>131</v>
      </c>
      <c r="AY11" s="182"/>
      <c r="AZ11" s="181">
        <v>260000</v>
      </c>
      <c r="BA11" s="181"/>
      <c r="BB11" s="181"/>
      <c r="BC11" s="181"/>
      <c r="BD11" s="175" t="s">
        <v>4</v>
      </c>
      <c r="BE11" s="175"/>
      <c r="BF11" s="175"/>
      <c r="BG11" s="175"/>
      <c r="BH11" s="175"/>
      <c r="BI11" s="183"/>
      <c r="BJ11" s="6"/>
      <c r="BK11" s="182" t="s">
        <v>131</v>
      </c>
      <c r="BL11" s="182"/>
      <c r="BM11" s="181">
        <v>15700</v>
      </c>
      <c r="BN11" s="181"/>
      <c r="BO11" s="181"/>
      <c r="BP11" s="181"/>
      <c r="BQ11" s="175" t="s">
        <v>4</v>
      </c>
      <c r="BR11" s="175"/>
      <c r="BS11" s="175"/>
      <c r="BT11" s="175"/>
      <c r="BU11" s="175"/>
      <c r="BV11" s="175"/>
      <c r="BW11" s="175"/>
    </row>
    <row r="12" spans="1:99" ht="6" hidden="1" customHeight="1">
      <c r="A12" s="183"/>
      <c r="B12" s="6"/>
      <c r="C12" s="175"/>
      <c r="E12" s="7"/>
      <c r="F12" s="7"/>
      <c r="G12" s="7"/>
      <c r="H12" s="7"/>
      <c r="I12" s="175"/>
      <c r="R12" s="183"/>
      <c r="S12" s="6"/>
      <c r="T12" s="175"/>
      <c r="V12" s="176"/>
      <c r="W12" s="176"/>
      <c r="X12" s="176"/>
      <c r="Y12" s="176"/>
      <c r="AN12" s="183"/>
      <c r="AO12" s="175"/>
      <c r="AV12" s="183"/>
      <c r="AW12" s="175"/>
      <c r="AX12" s="175"/>
      <c r="AZ12" s="176"/>
      <c r="BA12" s="176"/>
      <c r="BB12" s="176"/>
      <c r="BC12" s="176"/>
      <c r="BI12" s="183"/>
      <c r="BJ12" s="6"/>
      <c r="BK12" s="175"/>
      <c r="BM12" s="176"/>
      <c r="BN12" s="176"/>
      <c r="BO12" s="176"/>
      <c r="BP12" s="176"/>
    </row>
    <row r="13" spans="1:99" ht="20.100000000000001" hidden="1" customHeight="1">
      <c r="A13" s="183"/>
      <c r="B13" s="6"/>
      <c r="C13" s="175">
        <v>2</v>
      </c>
      <c r="D13" s="3" t="s">
        <v>2</v>
      </c>
      <c r="E13" s="184">
        <f>IF($I$5="","",$AP$9+K13*$I$5)</f>
        <v>2670000</v>
      </c>
      <c r="F13" s="184"/>
      <c r="G13" s="184"/>
      <c r="H13" s="184"/>
      <c r="I13" s="175" t="s">
        <v>4</v>
      </c>
      <c r="K13" s="181">
        <v>560000</v>
      </c>
      <c r="L13" s="181"/>
      <c r="M13" s="181"/>
      <c r="N13" s="181"/>
      <c r="O13" s="175" t="s">
        <v>4</v>
      </c>
      <c r="R13" s="183"/>
      <c r="S13" s="6"/>
      <c r="T13" s="182" t="s">
        <v>132</v>
      </c>
      <c r="U13" s="182"/>
      <c r="V13" s="199">
        <v>2.2999999999999998</v>
      </c>
      <c r="W13" s="199"/>
      <c r="X13" s="199"/>
      <c r="Y13" s="199"/>
      <c r="Z13" s="175" t="s">
        <v>134</v>
      </c>
      <c r="AA13" s="175"/>
      <c r="AN13" s="183"/>
      <c r="AO13" s="175"/>
      <c r="AV13" s="183"/>
      <c r="AW13" s="175"/>
      <c r="AX13" s="182" t="s">
        <v>132</v>
      </c>
      <c r="AY13" s="182"/>
      <c r="AZ13" s="181">
        <v>170000</v>
      </c>
      <c r="BA13" s="181"/>
      <c r="BB13" s="181"/>
      <c r="BC13" s="181"/>
      <c r="BD13" s="175" t="s">
        <v>4</v>
      </c>
      <c r="BE13" s="175"/>
      <c r="BF13" s="175"/>
      <c r="BG13" s="175"/>
      <c r="BH13" s="175"/>
      <c r="BI13" s="183"/>
      <c r="BJ13" s="6"/>
      <c r="BK13" s="182" t="s">
        <v>132</v>
      </c>
      <c r="BL13" s="182"/>
      <c r="BM13" s="181">
        <v>15700</v>
      </c>
      <c r="BN13" s="181"/>
      <c r="BO13" s="181"/>
      <c r="BP13" s="181"/>
      <c r="BQ13" s="175" t="s">
        <v>4</v>
      </c>
      <c r="BR13" s="175"/>
      <c r="BS13" s="175"/>
      <c r="BT13" s="175"/>
      <c r="BU13" s="175"/>
      <c r="BV13" s="175"/>
      <c r="BW13" s="175"/>
    </row>
    <row r="14" spans="1:99" ht="6" hidden="1" customHeight="1">
      <c r="A14" s="6"/>
      <c r="B14" s="6"/>
      <c r="C14" s="175"/>
      <c r="E14" s="176"/>
      <c r="F14" s="176"/>
      <c r="G14" s="176"/>
      <c r="H14" s="176"/>
      <c r="I14" s="175"/>
      <c r="AV14" s="183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</row>
    <row r="15" spans="1:99" ht="20.100000000000001" hidden="1" customHeight="1">
      <c r="A15" s="183" t="s">
        <v>143</v>
      </c>
      <c r="B15" s="6"/>
      <c r="C15" s="175" t="s">
        <v>144</v>
      </c>
      <c r="D15" s="182" t="str">
        <f>IF(OR(L32="していない",T23=""),"なし",IF(AND(39&lt;T23+1,T23&lt;65),"あり","なし"))</f>
        <v>あり</v>
      </c>
      <c r="E15" s="182"/>
      <c r="F15" s="176"/>
      <c r="G15" s="175" t="s">
        <v>147</v>
      </c>
      <c r="H15" s="182" t="str">
        <f>IF(T50="","なし",IF(AND(39&lt;T50+1,T50&lt;65),"あり","なし"))</f>
        <v>なし</v>
      </c>
      <c r="I15" s="182"/>
      <c r="AV15" s="183"/>
      <c r="AX15" s="182" t="s">
        <v>160</v>
      </c>
      <c r="AY15" s="182"/>
      <c r="AZ15" s="184">
        <f>AZ9+AZ11</f>
        <v>920000</v>
      </c>
      <c r="BA15" s="184"/>
      <c r="BB15" s="184"/>
      <c r="BC15" s="184"/>
      <c r="BD15" s="175" t="s">
        <v>4</v>
      </c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</row>
    <row r="16" spans="1:99" ht="6" hidden="1" customHeight="1">
      <c r="A16" s="183"/>
      <c r="B16" s="6"/>
      <c r="C16" s="175"/>
      <c r="E16" s="176"/>
      <c r="F16" s="176"/>
      <c r="G16" s="175"/>
      <c r="I16" s="176"/>
      <c r="AV16" s="183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</row>
    <row r="17" spans="1:99" ht="20.100000000000001" hidden="1" customHeight="1">
      <c r="A17" s="183"/>
      <c r="B17" s="6"/>
      <c r="C17" s="175" t="s">
        <v>145</v>
      </c>
      <c r="D17" s="182" t="str">
        <f>IF(T32="","なし",IF(AND(39&lt;T32+1,T32&lt;65),"あり","なし"))</f>
        <v>なし</v>
      </c>
      <c r="E17" s="182"/>
      <c r="F17" s="176"/>
      <c r="G17" s="175" t="s">
        <v>148</v>
      </c>
      <c r="H17" s="182" t="str">
        <f>IF(T59="","なし",IF(AND(39&lt;T59+1,T59&lt;65),"あり","なし"))</f>
        <v>なし</v>
      </c>
      <c r="I17" s="182"/>
      <c r="AV17" s="183"/>
      <c r="AX17" s="182" t="s">
        <v>159</v>
      </c>
      <c r="AY17" s="182"/>
      <c r="AZ17" s="184">
        <f>AZ9+AZ11+AZ13</f>
        <v>1090000</v>
      </c>
      <c r="BA17" s="184"/>
      <c r="BB17" s="184"/>
      <c r="BC17" s="184"/>
      <c r="BD17" s="175" t="s">
        <v>4</v>
      </c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</row>
    <row r="18" spans="1:99" ht="6" hidden="1" customHeight="1">
      <c r="A18" s="183"/>
      <c r="B18" s="6"/>
      <c r="C18" s="175"/>
      <c r="E18" s="176"/>
      <c r="F18" s="176"/>
      <c r="G18" s="175"/>
      <c r="I18" s="176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</row>
    <row r="19" spans="1:99" ht="20.100000000000001" hidden="1" customHeight="1">
      <c r="A19" s="183"/>
      <c r="B19" s="6"/>
      <c r="C19" s="175" t="s">
        <v>146</v>
      </c>
      <c r="D19" s="182" t="str">
        <f>IF(T41="","なし",IF(AND(39&lt;T41+1,T41&lt;65),"あり","なし"))</f>
        <v>なし</v>
      </c>
      <c r="E19" s="182"/>
      <c r="F19" s="176"/>
      <c r="G19" s="175" t="s">
        <v>149</v>
      </c>
      <c r="H19" s="182" t="str">
        <f>IF(T68="","なし",IF(AND(39&lt;T68+1,T68&lt;65),"あり","なし"))</f>
        <v>なし</v>
      </c>
      <c r="I19" s="182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</row>
    <row r="20" spans="1:99" ht="6" customHeight="1">
      <c r="A20" s="6"/>
      <c r="B20" s="6"/>
      <c r="C20" s="175"/>
      <c r="E20" s="176"/>
      <c r="F20" s="176"/>
      <c r="G20" s="176"/>
      <c r="H20" s="176"/>
      <c r="I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</row>
    <row r="21" spans="1:99" ht="6" customHeight="1">
      <c r="A21" s="192" t="s">
        <v>5</v>
      </c>
      <c r="C21" s="8"/>
      <c r="D21" s="8"/>
      <c r="E21" s="8"/>
      <c r="F21" s="8"/>
      <c r="G21" s="8"/>
      <c r="H21" s="8"/>
      <c r="I21" s="8"/>
      <c r="J21" s="8"/>
      <c r="K21" s="9"/>
      <c r="L21" s="9"/>
      <c r="M21" s="9"/>
      <c r="N21" s="9"/>
      <c r="O21" s="9"/>
      <c r="P21" s="9"/>
      <c r="Q21" s="9"/>
      <c r="R21" s="192" t="s">
        <v>6</v>
      </c>
      <c r="T21" s="8"/>
      <c r="U21" s="8"/>
      <c r="V21" s="8"/>
      <c r="X21" s="183" t="s">
        <v>11</v>
      </c>
      <c r="Z21" s="8"/>
      <c r="AA21" s="8"/>
      <c r="AB21" s="8"/>
      <c r="AC21" s="8"/>
      <c r="AD21" s="8"/>
      <c r="AF21" s="183" t="s">
        <v>142</v>
      </c>
      <c r="AH21" s="8"/>
      <c r="AI21" s="8"/>
      <c r="AJ21" s="8"/>
      <c r="AK21" s="8"/>
      <c r="AL21" s="8"/>
      <c r="AN21" s="192" t="s">
        <v>9</v>
      </c>
      <c r="AP21" s="8"/>
      <c r="AQ21" s="8"/>
      <c r="AR21" s="8"/>
      <c r="AS21" s="8"/>
      <c r="AT21" s="8"/>
      <c r="AV21" s="183" t="s">
        <v>10</v>
      </c>
      <c r="AX21" s="8"/>
      <c r="AY21" s="8"/>
      <c r="AZ21" s="8"/>
      <c r="BA21" s="8"/>
      <c r="BB21" s="8"/>
      <c r="BI21" s="183" t="s">
        <v>24</v>
      </c>
      <c r="BK21" s="8"/>
      <c r="BL21" s="8"/>
      <c r="BM21" s="8"/>
      <c r="BN21" s="8"/>
      <c r="BO21" s="8"/>
      <c r="BQ21" s="183" t="s">
        <v>25</v>
      </c>
      <c r="BS21" s="8"/>
      <c r="BT21" s="8"/>
      <c r="BU21" s="8"/>
      <c r="BV21" s="8"/>
      <c r="BW21" s="8"/>
      <c r="BY21" s="183" t="s">
        <v>150</v>
      </c>
      <c r="CA21" s="8"/>
      <c r="CB21" s="8"/>
      <c r="CC21" s="8"/>
      <c r="CD21" s="8"/>
      <c r="CE21" s="8"/>
      <c r="CG21" s="192" t="s">
        <v>10</v>
      </c>
      <c r="CI21" s="8"/>
      <c r="CJ21" s="8"/>
      <c r="CK21" s="8"/>
      <c r="CL21" s="8"/>
      <c r="CM21" s="8"/>
      <c r="CO21" s="192" t="s">
        <v>12</v>
      </c>
      <c r="CQ21" s="8"/>
      <c r="CR21" s="8"/>
      <c r="CS21" s="8"/>
      <c r="CT21" s="8"/>
      <c r="CU21" s="8"/>
    </row>
    <row r="22" spans="1:99" ht="6" customHeight="1">
      <c r="A22" s="192"/>
      <c r="C22" s="10"/>
      <c r="D22" s="10"/>
      <c r="E22" s="10"/>
      <c r="F22" s="10"/>
      <c r="G22" s="10"/>
      <c r="H22" s="10"/>
      <c r="I22" s="10"/>
      <c r="J22" s="10"/>
      <c r="K22" s="9"/>
      <c r="L22" s="9"/>
      <c r="M22" s="9"/>
      <c r="N22" s="9"/>
      <c r="O22" s="9"/>
      <c r="P22" s="9"/>
      <c r="Q22" s="9"/>
      <c r="R22" s="192"/>
      <c r="T22" s="10"/>
      <c r="U22" s="10"/>
      <c r="V22" s="10"/>
      <c r="X22" s="183"/>
      <c r="Z22" s="10"/>
      <c r="AA22" s="10"/>
      <c r="AB22" s="10"/>
      <c r="AC22" s="10"/>
      <c r="AD22" s="10"/>
      <c r="AF22" s="183"/>
      <c r="AH22" s="10"/>
      <c r="AI22" s="10"/>
      <c r="AJ22" s="10"/>
      <c r="AK22" s="10"/>
      <c r="AL22" s="10"/>
      <c r="AN22" s="192"/>
      <c r="AP22" s="10"/>
      <c r="AQ22" s="10"/>
      <c r="AR22" s="10"/>
      <c r="AS22" s="10"/>
      <c r="AT22" s="10"/>
      <c r="AV22" s="183"/>
      <c r="AX22" s="10"/>
      <c r="AY22" s="10"/>
      <c r="AZ22" s="10"/>
      <c r="BA22" s="10"/>
      <c r="BB22" s="10"/>
      <c r="BI22" s="183"/>
      <c r="BK22" s="10"/>
      <c r="BL22" s="10"/>
      <c r="BM22" s="10"/>
      <c r="BN22" s="10"/>
      <c r="BO22" s="10"/>
      <c r="BQ22" s="183"/>
      <c r="BS22" s="10"/>
      <c r="BT22" s="10"/>
      <c r="BU22" s="10"/>
      <c r="BV22" s="10"/>
      <c r="BW22" s="10"/>
      <c r="BY22" s="183"/>
      <c r="CA22" s="10"/>
      <c r="CB22" s="10"/>
      <c r="CC22" s="10"/>
      <c r="CD22" s="10"/>
      <c r="CE22" s="10"/>
      <c r="CG22" s="192"/>
      <c r="CI22" s="10"/>
      <c r="CJ22" s="10"/>
      <c r="CK22" s="10"/>
      <c r="CL22" s="10"/>
      <c r="CM22" s="10"/>
      <c r="CO22" s="192"/>
      <c r="CQ22" s="10"/>
      <c r="CR22" s="10"/>
      <c r="CS22" s="10"/>
      <c r="CT22" s="10"/>
      <c r="CU22" s="10"/>
    </row>
    <row r="23" spans="1:99" ht="20.100000000000001" customHeight="1">
      <c r="A23" s="192"/>
      <c r="B23" s="6"/>
      <c r="C23" s="4" t="s">
        <v>13</v>
      </c>
      <c r="F23" s="201">
        <v>3000000</v>
      </c>
      <c r="G23" s="201"/>
      <c r="H23" s="201"/>
      <c r="I23" s="201"/>
      <c r="J23" s="175" t="s">
        <v>4</v>
      </c>
      <c r="K23" s="175"/>
      <c r="L23" s="4" t="s">
        <v>19</v>
      </c>
      <c r="M23" s="175"/>
      <c r="N23" s="175"/>
      <c r="O23" s="175"/>
      <c r="P23" s="175"/>
      <c r="Q23" s="175"/>
      <c r="R23" s="192"/>
      <c r="T23" s="202">
        <v>42</v>
      </c>
      <c r="U23" s="202"/>
      <c r="V23" s="175" t="s">
        <v>7</v>
      </c>
      <c r="W23" s="175"/>
      <c r="X23" s="183"/>
      <c r="Y23" s="175"/>
      <c r="Z23" s="175" t="s">
        <v>138</v>
      </c>
      <c r="AA23" s="189">
        <f>IF($L$32="","",IF($L$32="していない","",IF(AND($L$32="している",39&lt;$T$23+1,$T$23&lt;65),SUM($V$9:$Y$13),SUM($V$9:$Y$11))))</f>
        <v>11.870000000000001</v>
      </c>
      <c r="AB23" s="189"/>
      <c r="AC23" s="189"/>
      <c r="AD23" s="175" t="s">
        <v>134</v>
      </c>
      <c r="AF23" s="183"/>
      <c r="AH23" s="188">
        <f>IF(AA23="",0,IF($L$32="している",MAX(ROUNDDOWN(($F$23-$AP$9)*AA23/100,-2),0,0)))</f>
        <v>305000</v>
      </c>
      <c r="AI23" s="188"/>
      <c r="AJ23" s="188"/>
      <c r="AK23" s="188"/>
      <c r="AL23" s="175" t="s">
        <v>4</v>
      </c>
      <c r="AN23" s="192"/>
      <c r="AP23" s="191">
        <f>IF($L$32="",0,IF($L$32="している",MAX(SUM(AP25:AS29),0),0))</f>
        <v>305000</v>
      </c>
      <c r="AQ23" s="191"/>
      <c r="AR23" s="191"/>
      <c r="AS23" s="191"/>
      <c r="AT23" s="175" t="s">
        <v>4</v>
      </c>
      <c r="AU23" s="175"/>
      <c r="AV23" s="183"/>
      <c r="AW23" s="175"/>
      <c r="AX23" s="184">
        <f>IF($L$32="","",IF($L$32="している",IF(AND(39&lt;$T$23+1,$T$23&lt;65),$BM$9+$BM$11+$BM$13,$BM$9+$BM$11),0))</f>
        <v>67200</v>
      </c>
      <c r="AY23" s="184"/>
      <c r="AZ23" s="184"/>
      <c r="BA23" s="184"/>
      <c r="BB23" s="175" t="s">
        <v>4</v>
      </c>
      <c r="BC23" s="175"/>
      <c r="BD23" s="83"/>
      <c r="BE23" s="175"/>
      <c r="BF23" s="194">
        <f>IF(F77="","",IF(F77&lt;=E9,0.7,IF(F77&lt;=E11,0.5,IF(F77&lt;=E13,0.2,0))))</f>
        <v>0</v>
      </c>
      <c r="BG23" s="194"/>
      <c r="BH23" s="179"/>
      <c r="BI23" s="183"/>
      <c r="BJ23" s="179"/>
      <c r="BK23" s="184">
        <f>IF($L$32="","",IF(AND($T$23&lt;6,$L$32="している"),ROUNDDOWN(AX23*(1-$BF$23)*0.5,-2),IF(AND(6&lt;=$T$23+1,$T$23+1&lt;=18,$L$32="している"),0,IF($T$23+1&lt;19,0,0))))</f>
        <v>0</v>
      </c>
      <c r="BL23" s="184"/>
      <c r="BM23" s="184"/>
      <c r="BN23" s="184"/>
      <c r="BO23" s="175" t="s">
        <v>4</v>
      </c>
      <c r="BP23" s="179"/>
      <c r="BQ23" s="183"/>
      <c r="BR23" s="179"/>
      <c r="BS23" s="184">
        <f>IF($L$32="",0,IF(AND($T$23&lt;6,$L$32="している"),0,IF(AND(6&lt;=$T$23+1,$T$23+1&lt;=18,$L$32="している"),ROUNDDOWN(AX23*(1-$BF$23)*0.8,-2),0)))</f>
        <v>0</v>
      </c>
      <c r="BT23" s="184"/>
      <c r="BU23" s="184"/>
      <c r="BV23" s="184"/>
      <c r="BW23" s="175" t="s">
        <v>4</v>
      </c>
      <c r="BY23" s="183"/>
      <c r="BZ23" s="179"/>
      <c r="CA23" s="184">
        <f>IF(BS23=0,0,AX23-BS23)</f>
        <v>0</v>
      </c>
      <c r="CB23" s="184"/>
      <c r="CC23" s="184"/>
      <c r="CD23" s="184"/>
      <c r="CE23" s="175" t="s">
        <v>4</v>
      </c>
      <c r="CG23" s="192"/>
      <c r="CI23" s="191">
        <f>IF($T$23="",0,IF($T$23&lt;6,BK23,IF(AND(6&lt;=$T$23+1,$T$23+1&lt;=18),BS23,ROUNDDOWN(AX23*(1-$BF$23),-2))))</f>
        <v>67200</v>
      </c>
      <c r="CJ23" s="191"/>
      <c r="CK23" s="191"/>
      <c r="CL23" s="191"/>
      <c r="CM23" s="175" t="s">
        <v>4</v>
      </c>
      <c r="CO23" s="192"/>
      <c r="CQ23" s="191">
        <f>IF(CI23="","",AP23+CI23)</f>
        <v>372200</v>
      </c>
      <c r="CR23" s="191"/>
      <c r="CS23" s="191"/>
      <c r="CT23" s="191"/>
      <c r="CU23" s="175" t="s">
        <v>4</v>
      </c>
    </row>
    <row r="24" spans="1:99" ht="6" hidden="1" customHeight="1">
      <c r="A24" s="192"/>
      <c r="B24" s="6"/>
      <c r="C24" s="4"/>
      <c r="J24" s="175"/>
      <c r="K24" s="175"/>
      <c r="L24" s="4"/>
      <c r="M24" s="175"/>
      <c r="N24" s="175"/>
      <c r="O24" s="175"/>
      <c r="P24" s="175"/>
      <c r="Q24" s="175"/>
      <c r="R24" s="192"/>
      <c r="T24" s="175"/>
      <c r="U24" s="175"/>
      <c r="V24" s="175"/>
      <c r="W24" s="175"/>
      <c r="X24" s="183"/>
      <c r="Y24" s="175"/>
      <c r="Z24" s="175"/>
      <c r="AA24" s="177"/>
      <c r="AB24" s="177"/>
      <c r="AC24" s="177"/>
      <c r="AD24" s="175"/>
      <c r="AF24" s="183"/>
      <c r="AH24" s="178"/>
      <c r="AI24" s="178"/>
      <c r="AJ24" s="178"/>
      <c r="AK24" s="178"/>
      <c r="AL24" s="175"/>
      <c r="AN24" s="192"/>
      <c r="AP24" s="178"/>
      <c r="AQ24" s="178"/>
      <c r="AR24" s="178"/>
      <c r="AS24" s="178"/>
      <c r="AT24" s="175"/>
      <c r="AU24" s="175"/>
      <c r="AV24" s="183"/>
      <c r="AW24" s="175"/>
      <c r="AX24" s="176"/>
      <c r="AY24" s="176"/>
      <c r="AZ24" s="176"/>
      <c r="BA24" s="176"/>
      <c r="BB24" s="175"/>
      <c r="BC24" s="175"/>
      <c r="BD24" s="179"/>
      <c r="BE24" s="175"/>
      <c r="BF24" s="179"/>
      <c r="BG24" s="179"/>
      <c r="BH24" s="179"/>
      <c r="BI24" s="183"/>
      <c r="BJ24" s="179"/>
      <c r="BK24" s="176"/>
      <c r="BL24" s="176"/>
      <c r="BM24" s="176"/>
      <c r="BN24" s="176"/>
      <c r="BO24" s="175"/>
      <c r="BP24" s="179"/>
      <c r="BQ24" s="183"/>
      <c r="BR24" s="179"/>
      <c r="BS24" s="176"/>
      <c r="BT24" s="176"/>
      <c r="BU24" s="176"/>
      <c r="BV24" s="176"/>
      <c r="BW24" s="175"/>
      <c r="BY24" s="183"/>
      <c r="BZ24" s="179"/>
      <c r="CA24" s="176"/>
      <c r="CB24" s="176"/>
      <c r="CC24" s="176"/>
      <c r="CD24" s="176"/>
      <c r="CE24" s="175"/>
      <c r="CG24" s="192"/>
      <c r="CI24" s="178"/>
      <c r="CJ24" s="178"/>
      <c r="CK24" s="178"/>
      <c r="CL24" s="178"/>
      <c r="CM24" s="175"/>
      <c r="CO24" s="192"/>
      <c r="CQ24" s="178"/>
      <c r="CR24" s="178"/>
      <c r="CS24" s="178"/>
      <c r="CT24" s="178"/>
      <c r="CU24" s="175"/>
    </row>
    <row r="25" spans="1:99" ht="20.100000000000001" hidden="1" customHeight="1">
      <c r="A25" s="192"/>
      <c r="B25" s="6"/>
      <c r="C25" s="4"/>
      <c r="J25" s="175"/>
      <c r="K25" s="175"/>
      <c r="L25" s="4"/>
      <c r="M25" s="175"/>
      <c r="N25" s="175"/>
      <c r="O25" s="175"/>
      <c r="P25" s="175"/>
      <c r="Q25" s="175"/>
      <c r="R25" s="192"/>
      <c r="T25" s="175"/>
      <c r="U25" s="175"/>
      <c r="V25" s="175"/>
      <c r="W25" s="175"/>
      <c r="X25" s="183"/>
      <c r="Y25" s="175"/>
      <c r="Z25" s="175" t="s">
        <v>139</v>
      </c>
      <c r="AA25" s="189">
        <f>IF($L$32="","",IF($L$32="していない","",IF($L$32="している",V9,0)))</f>
        <v>6.72</v>
      </c>
      <c r="AB25" s="189"/>
      <c r="AC25" s="189"/>
      <c r="AD25" s="175" t="s">
        <v>134</v>
      </c>
      <c r="AF25" s="183"/>
      <c r="AH25" s="188">
        <f>IF(AA25="",0,IF($L$32="している",MAX(ROUNDDOWN(($F$23-$AP$9)*AA25/100,-2),0,0)))</f>
        <v>172700</v>
      </c>
      <c r="AI25" s="188"/>
      <c r="AJ25" s="188"/>
      <c r="AK25" s="188"/>
      <c r="AL25" s="175" t="s">
        <v>4</v>
      </c>
      <c r="AN25" s="192"/>
      <c r="AP25" s="188">
        <f>IF($L$32="",0,IF(AND($L$32="している",AZ9&lt;=AH25),AZ9-CI25,IF(AND($L$32="している",AH25&lt;AZ9),MIN(AH25,AZ9-CI25),0)))</f>
        <v>172700</v>
      </c>
      <c r="AQ25" s="188"/>
      <c r="AR25" s="188"/>
      <c r="AS25" s="188"/>
      <c r="AT25" s="175" t="s">
        <v>4</v>
      </c>
      <c r="AU25" s="175"/>
      <c r="AV25" s="183"/>
      <c r="AW25" s="175"/>
      <c r="AX25" s="184">
        <f>IF($L$32="","",IF(AND($L$32="している",$T$23&lt;&gt;""),BM9,0))</f>
        <v>35800</v>
      </c>
      <c r="AY25" s="184"/>
      <c r="AZ25" s="184"/>
      <c r="BA25" s="184"/>
      <c r="BB25" s="175" t="s">
        <v>4</v>
      </c>
      <c r="BC25" s="175"/>
      <c r="BD25" s="179"/>
      <c r="BE25" s="175"/>
      <c r="BF25" s="179"/>
      <c r="BG25" s="179"/>
      <c r="BH25" s="179"/>
      <c r="BI25" s="183"/>
      <c r="BJ25" s="179"/>
      <c r="BK25" s="184">
        <f>IF($L$32="","",IF(AND($T$23&lt;6,$L$32="している"),ROUNDDOWN(AX25*(1-$BF$23)*0.5,-2),IF(AND(6&lt;=$T$23+1,$T$23+1&lt;=18,$L$32="している"),0,IF($T$23+1&lt;19,0,0))))</f>
        <v>0</v>
      </c>
      <c r="BL25" s="184"/>
      <c r="BM25" s="184"/>
      <c r="BN25" s="184"/>
      <c r="BO25" s="175" t="s">
        <v>4</v>
      </c>
      <c r="BP25" s="179"/>
      <c r="BQ25" s="183"/>
      <c r="BR25" s="179"/>
      <c r="BS25" s="184">
        <f>IF($L$32="",0,IF(AND($T$23&lt;6,$L$32="している"),0,IF(AND(6&lt;=$T$23+1,$T$23+1&lt;=18,$L$32="している"),ROUNDDOWN(AX25*(1-$BF$23)*0.8,-2),0)))</f>
        <v>0</v>
      </c>
      <c r="BT25" s="184"/>
      <c r="BU25" s="184"/>
      <c r="BV25" s="184"/>
      <c r="BW25" s="175" t="s">
        <v>4</v>
      </c>
      <c r="BY25" s="183"/>
      <c r="BZ25" s="179"/>
      <c r="CA25" s="184">
        <f>IF(BS25=0,0,AX25-BS25)</f>
        <v>0</v>
      </c>
      <c r="CB25" s="184"/>
      <c r="CC25" s="184"/>
      <c r="CD25" s="184"/>
      <c r="CE25" s="175" t="s">
        <v>4</v>
      </c>
      <c r="CG25" s="192"/>
      <c r="CI25" s="188">
        <f>IF($T$23="",0,IF($T$23&lt;6,BK25,IF(AND(6&lt;=$T$23+1,$T$23+1&lt;=18),BS25,ROUNDDOWN(AX25*(1-$BF$23),-2))))</f>
        <v>35800</v>
      </c>
      <c r="CJ25" s="188"/>
      <c r="CK25" s="188"/>
      <c r="CL25" s="188"/>
      <c r="CM25" s="175" t="s">
        <v>4</v>
      </c>
      <c r="CO25" s="192"/>
      <c r="CQ25" s="188">
        <f>IF(CI25="","",AP25+CI25)</f>
        <v>208500</v>
      </c>
      <c r="CR25" s="188"/>
      <c r="CS25" s="188"/>
      <c r="CT25" s="188"/>
      <c r="CU25" s="175" t="s">
        <v>4</v>
      </c>
    </row>
    <row r="26" spans="1:99" ht="6" hidden="1" customHeight="1">
      <c r="A26" s="192"/>
      <c r="B26" s="6"/>
      <c r="C26" s="4"/>
      <c r="J26" s="175"/>
      <c r="K26" s="175"/>
      <c r="L26" s="4"/>
      <c r="M26" s="175"/>
      <c r="N26" s="175"/>
      <c r="O26" s="175"/>
      <c r="P26" s="175"/>
      <c r="Q26" s="175"/>
      <c r="R26" s="192"/>
      <c r="T26" s="175"/>
      <c r="U26" s="175"/>
      <c r="V26" s="175"/>
      <c r="W26" s="175"/>
      <c r="X26" s="183"/>
      <c r="Y26" s="175"/>
      <c r="Z26" s="175"/>
      <c r="AA26" s="177"/>
      <c r="AB26" s="177"/>
      <c r="AC26" s="177"/>
      <c r="AD26" s="175"/>
      <c r="AF26" s="183"/>
      <c r="AH26" s="178"/>
      <c r="AI26" s="178"/>
      <c r="AJ26" s="178"/>
      <c r="AK26" s="178"/>
      <c r="AL26" s="175"/>
      <c r="AN26" s="192"/>
      <c r="AP26" s="178"/>
      <c r="AQ26" s="178"/>
      <c r="AR26" s="178"/>
      <c r="AS26" s="178"/>
      <c r="AT26" s="175"/>
      <c r="AU26" s="175"/>
      <c r="AV26" s="183"/>
      <c r="AW26" s="175"/>
      <c r="AX26" s="176"/>
      <c r="AY26" s="176"/>
      <c r="AZ26" s="176"/>
      <c r="BA26" s="176"/>
      <c r="BB26" s="175"/>
      <c r="BC26" s="175"/>
      <c r="BD26" s="179"/>
      <c r="BE26" s="175"/>
      <c r="BF26" s="179"/>
      <c r="BG26" s="179"/>
      <c r="BH26" s="179"/>
      <c r="BI26" s="183"/>
      <c r="BJ26" s="179"/>
      <c r="BK26" s="176"/>
      <c r="BL26" s="176"/>
      <c r="BM26" s="176"/>
      <c r="BN26" s="176"/>
      <c r="BO26" s="175"/>
      <c r="BP26" s="179"/>
      <c r="BQ26" s="183"/>
      <c r="BR26" s="179"/>
      <c r="BS26" s="176"/>
      <c r="BT26" s="176"/>
      <c r="BU26" s="176"/>
      <c r="BV26" s="176"/>
      <c r="BW26" s="175"/>
      <c r="BY26" s="183"/>
      <c r="BZ26" s="179"/>
      <c r="CA26" s="176"/>
      <c r="CB26" s="176"/>
      <c r="CC26" s="176"/>
      <c r="CD26" s="176"/>
      <c r="CE26" s="175"/>
      <c r="CG26" s="192"/>
      <c r="CI26" s="178"/>
      <c r="CJ26" s="178"/>
      <c r="CK26" s="178"/>
      <c r="CL26" s="178"/>
      <c r="CM26" s="175"/>
      <c r="CO26" s="192"/>
      <c r="CQ26" s="178"/>
      <c r="CR26" s="178"/>
      <c r="CS26" s="178"/>
      <c r="CT26" s="178"/>
      <c r="CU26" s="175"/>
    </row>
    <row r="27" spans="1:99" ht="20.100000000000001" hidden="1" customHeight="1">
      <c r="A27" s="192"/>
      <c r="B27" s="6"/>
      <c r="C27" s="4"/>
      <c r="J27" s="175"/>
      <c r="K27" s="175"/>
      <c r="L27" s="4"/>
      <c r="M27" s="175"/>
      <c r="N27" s="175"/>
      <c r="O27" s="175"/>
      <c r="P27" s="175"/>
      <c r="Q27" s="175"/>
      <c r="R27" s="192"/>
      <c r="T27" s="175"/>
      <c r="U27" s="175"/>
      <c r="V27" s="175"/>
      <c r="W27" s="175"/>
      <c r="X27" s="183"/>
      <c r="Y27" s="175"/>
      <c r="Z27" s="175" t="s">
        <v>140</v>
      </c>
      <c r="AA27" s="189">
        <f>IF($L$32="","",IF($L$32="していない","",IF($L$32="している",V11,0)))</f>
        <v>2.85</v>
      </c>
      <c r="AB27" s="189"/>
      <c r="AC27" s="189"/>
      <c r="AD27" s="175" t="s">
        <v>134</v>
      </c>
      <c r="AF27" s="183"/>
      <c r="AH27" s="188">
        <f>IF(AA27="",0,IF($L$32="している",MAX(ROUNDDOWN(($F$23-$AP$9)*AA27/100,-2),0,0)))</f>
        <v>73200</v>
      </c>
      <c r="AI27" s="188"/>
      <c r="AJ27" s="188"/>
      <c r="AK27" s="188"/>
      <c r="AL27" s="175" t="s">
        <v>4</v>
      </c>
      <c r="AN27" s="192"/>
      <c r="AP27" s="188">
        <f>IF($L$32="",0,IF(AND($L$32="している",AZ11&lt;=AH27),AZ11-CI27,IF(AND($L$32="している",AH27&lt;AZ11),MIN(AH27,AZ11-CI27),0)))</f>
        <v>73200</v>
      </c>
      <c r="AQ27" s="188"/>
      <c r="AR27" s="188"/>
      <c r="AS27" s="188"/>
      <c r="AT27" s="175" t="s">
        <v>4</v>
      </c>
      <c r="AU27" s="175"/>
      <c r="AV27" s="183"/>
      <c r="AW27" s="175"/>
      <c r="AX27" s="184">
        <f>IF($L$32="","",IF(AND($L$32="している",$T$23&lt;&gt;""),BM11,0))</f>
        <v>15700</v>
      </c>
      <c r="AY27" s="184"/>
      <c r="AZ27" s="184"/>
      <c r="BA27" s="184"/>
      <c r="BB27" s="175" t="s">
        <v>4</v>
      </c>
      <c r="BC27" s="175"/>
      <c r="BD27" s="179"/>
      <c r="BE27" s="175"/>
      <c r="BF27" s="179"/>
      <c r="BG27" s="179"/>
      <c r="BH27" s="179"/>
      <c r="BI27" s="183"/>
      <c r="BJ27" s="179"/>
      <c r="BK27" s="184">
        <f>IF($L$32="","",IF(AND($T$23&lt;6,$L$32="している"),ROUNDDOWN(AX27*(1-$BF$23)*0.5,-2),IF(AND(6&lt;=$T$23+1,$T$23+1&lt;=18,$L$32="している"),0,IF($T$23+1&lt;19,0,0))))</f>
        <v>0</v>
      </c>
      <c r="BL27" s="184"/>
      <c r="BM27" s="184"/>
      <c r="BN27" s="184"/>
      <c r="BO27" s="175" t="s">
        <v>4</v>
      </c>
      <c r="BP27" s="179"/>
      <c r="BQ27" s="183"/>
      <c r="BR27" s="179"/>
      <c r="BS27" s="184">
        <f>IF($L$32="",0,IF(AND($T$23&lt;6,$L$32="している"),0,IF(AND(6&lt;=$T$23+1,$T$23+1&lt;=18,$L$32="している"),ROUNDDOWN(AX27*(1-$BF$23)*0.8,-2),0)))</f>
        <v>0</v>
      </c>
      <c r="BT27" s="184"/>
      <c r="BU27" s="184"/>
      <c r="BV27" s="184"/>
      <c r="BW27" s="175" t="s">
        <v>4</v>
      </c>
      <c r="BY27" s="183"/>
      <c r="BZ27" s="179"/>
      <c r="CA27" s="184">
        <f>IF(BS27=0,0,AX27-BS27)</f>
        <v>0</v>
      </c>
      <c r="CB27" s="184"/>
      <c r="CC27" s="184"/>
      <c r="CD27" s="184"/>
      <c r="CE27" s="175" t="s">
        <v>4</v>
      </c>
      <c r="CG27" s="192"/>
      <c r="CI27" s="188">
        <f>IF($T$23="",0,IF($T$23&lt;6,BK27,IF(AND(6&lt;=$T$23+1,$T$23+1&lt;=18),BS27,ROUNDDOWN(AX27*(1-$BF$23),-2))))</f>
        <v>15700</v>
      </c>
      <c r="CJ27" s="188"/>
      <c r="CK27" s="188"/>
      <c r="CL27" s="188"/>
      <c r="CM27" s="175" t="s">
        <v>4</v>
      </c>
      <c r="CO27" s="192"/>
      <c r="CQ27" s="188">
        <f>IF(CI27="","",AP27+CI27)</f>
        <v>88900</v>
      </c>
      <c r="CR27" s="188"/>
      <c r="CS27" s="188"/>
      <c r="CT27" s="188"/>
      <c r="CU27" s="175" t="s">
        <v>4</v>
      </c>
    </row>
    <row r="28" spans="1:99" ht="6" hidden="1" customHeight="1">
      <c r="A28" s="192"/>
      <c r="B28" s="6"/>
      <c r="C28" s="4"/>
      <c r="J28" s="175"/>
      <c r="K28" s="175"/>
      <c r="L28" s="4"/>
      <c r="M28" s="175"/>
      <c r="N28" s="175"/>
      <c r="O28" s="175"/>
      <c r="P28" s="175"/>
      <c r="Q28" s="175"/>
      <c r="R28" s="192"/>
      <c r="T28" s="175"/>
      <c r="U28" s="175"/>
      <c r="V28" s="175"/>
      <c r="W28" s="175"/>
      <c r="X28" s="183"/>
      <c r="Y28" s="175"/>
      <c r="Z28" s="175"/>
      <c r="AA28" s="177"/>
      <c r="AB28" s="177"/>
      <c r="AC28" s="177"/>
      <c r="AD28" s="175"/>
      <c r="AF28" s="183"/>
      <c r="AH28" s="178"/>
      <c r="AI28" s="178"/>
      <c r="AJ28" s="178"/>
      <c r="AK28" s="178"/>
      <c r="AL28" s="175"/>
      <c r="AN28" s="192"/>
      <c r="AP28" s="178"/>
      <c r="AQ28" s="178"/>
      <c r="AR28" s="178"/>
      <c r="AS28" s="178"/>
      <c r="AT28" s="175"/>
      <c r="AU28" s="175"/>
      <c r="AV28" s="183"/>
      <c r="AW28" s="175"/>
      <c r="AX28" s="176"/>
      <c r="AY28" s="176"/>
      <c r="AZ28" s="176"/>
      <c r="BA28" s="176"/>
      <c r="BB28" s="175"/>
      <c r="BC28" s="175"/>
      <c r="BD28" s="179"/>
      <c r="BE28" s="175"/>
      <c r="BF28" s="179"/>
      <c r="BG28" s="179"/>
      <c r="BH28" s="179"/>
      <c r="BI28" s="183"/>
      <c r="BJ28" s="179"/>
      <c r="BK28" s="176"/>
      <c r="BL28" s="176"/>
      <c r="BM28" s="176"/>
      <c r="BN28" s="176"/>
      <c r="BO28" s="175"/>
      <c r="BP28" s="179"/>
      <c r="BQ28" s="183"/>
      <c r="BR28" s="179"/>
      <c r="BS28" s="176"/>
      <c r="BT28" s="176"/>
      <c r="BU28" s="176"/>
      <c r="BV28" s="176"/>
      <c r="BW28" s="175"/>
      <c r="BY28" s="183"/>
      <c r="BZ28" s="179"/>
      <c r="CA28" s="176"/>
      <c r="CB28" s="176"/>
      <c r="CC28" s="176"/>
      <c r="CD28" s="176"/>
      <c r="CE28" s="175"/>
      <c r="CG28" s="192"/>
      <c r="CI28" s="178"/>
      <c r="CJ28" s="178"/>
      <c r="CK28" s="178"/>
      <c r="CL28" s="178"/>
      <c r="CM28" s="175"/>
      <c r="CO28" s="192"/>
      <c r="CQ28" s="178"/>
      <c r="CR28" s="178"/>
      <c r="CS28" s="178"/>
      <c r="CT28" s="178"/>
      <c r="CU28" s="175"/>
    </row>
    <row r="29" spans="1:99" ht="20.100000000000001" hidden="1" customHeight="1">
      <c r="A29" s="192"/>
      <c r="B29" s="6"/>
      <c r="C29" s="4"/>
      <c r="J29" s="175"/>
      <c r="K29" s="175"/>
      <c r="L29" s="4"/>
      <c r="M29" s="175"/>
      <c r="N29" s="175"/>
      <c r="O29" s="175"/>
      <c r="P29" s="175"/>
      <c r="Q29" s="175"/>
      <c r="R29" s="192"/>
      <c r="T29" s="175"/>
      <c r="U29" s="175"/>
      <c r="V29" s="175"/>
      <c r="W29" s="175"/>
      <c r="X29" s="183"/>
      <c r="Y29" s="175"/>
      <c r="Z29" s="175" t="s">
        <v>141</v>
      </c>
      <c r="AA29" s="189">
        <f>IF($L$32="","",IF($L$32="していない","",IF(AND(39&lt;$T$23+1,$T$23&lt;65),V13,"")))</f>
        <v>2.2999999999999998</v>
      </c>
      <c r="AB29" s="189"/>
      <c r="AC29" s="189"/>
      <c r="AD29" s="175" t="s">
        <v>134</v>
      </c>
      <c r="AF29" s="183"/>
      <c r="AH29" s="188">
        <f>IF($AA$29="",0,IF($L$32="している",MAX(ROUNDDOWN(($F$23-$AP$9)*AA29/100,-2),0,0)))</f>
        <v>59100</v>
      </c>
      <c r="AI29" s="188"/>
      <c r="AJ29" s="188"/>
      <c r="AK29" s="188"/>
      <c r="AL29" s="175" t="s">
        <v>4</v>
      </c>
      <c r="AN29" s="192"/>
      <c r="AP29" s="188">
        <f>IF($L$32="",0,IF(AND($L$32="している",AZ13&lt;=AH29),AZ13-CI29,IF(AND($L$32="している",AH29&lt;AZ13),MIN(AH29,AZ13-CI29),0)))</f>
        <v>59100</v>
      </c>
      <c r="AQ29" s="188"/>
      <c r="AR29" s="188"/>
      <c r="AS29" s="188"/>
      <c r="AT29" s="175" t="s">
        <v>4</v>
      </c>
      <c r="AU29" s="175"/>
      <c r="AV29" s="183"/>
      <c r="AW29" s="175"/>
      <c r="AX29" s="184">
        <f>IF($L$32="","",IF(AND($L$32="している",39&lt;$T$23+1,$T$23&lt;65),BM13,0))</f>
        <v>15700</v>
      </c>
      <c r="AY29" s="184"/>
      <c r="AZ29" s="184"/>
      <c r="BA29" s="184"/>
      <c r="BB29" s="175" t="s">
        <v>4</v>
      </c>
      <c r="BC29" s="175"/>
      <c r="BD29" s="179"/>
      <c r="BE29" s="175"/>
      <c r="BF29" s="179"/>
      <c r="BG29" s="179"/>
      <c r="BH29" s="179"/>
      <c r="BI29" s="183"/>
      <c r="BJ29" s="179"/>
      <c r="BK29" s="184">
        <f>IF($L$32="","",IF(AND($T$23&lt;6,$L$32="している"),ROUNDDOWN(AX29*(1-$BF$23)*0.5,-2),IF(AND(6&lt;=$T$23+1,$T$23+1&lt;=18,$L$32="している"),0,IF($T$23+1&lt;19,0,0))))</f>
        <v>0</v>
      </c>
      <c r="BL29" s="184"/>
      <c r="BM29" s="184"/>
      <c r="BN29" s="184"/>
      <c r="BO29" s="175" t="s">
        <v>4</v>
      </c>
      <c r="BP29" s="179"/>
      <c r="BQ29" s="183"/>
      <c r="BR29" s="179"/>
      <c r="BS29" s="184">
        <f>IF($L$32="",0,IF(AND($T$23&lt;6,$L$32="している"),0,IF(AND(6&lt;=$T$23+1,$T$23+1&lt;=18,$L$32="している"),ROUNDDOWN(AX29*(1-$BF$23)*0.8,-2),0)))</f>
        <v>0</v>
      </c>
      <c r="BT29" s="184"/>
      <c r="BU29" s="184"/>
      <c r="BV29" s="184"/>
      <c r="BW29" s="175" t="s">
        <v>4</v>
      </c>
      <c r="BY29" s="183"/>
      <c r="BZ29" s="179"/>
      <c r="CA29" s="184">
        <f>IF(BS29=0,0,AX29-BS29)</f>
        <v>0</v>
      </c>
      <c r="CB29" s="184"/>
      <c r="CC29" s="184"/>
      <c r="CD29" s="184"/>
      <c r="CE29" s="175" t="s">
        <v>4</v>
      </c>
      <c r="CG29" s="192"/>
      <c r="CI29" s="188">
        <f>IF($T$23="",0,IF($T$23&lt;6,BK29,IF(AND(6&lt;=$T$23+1,$T$23+1&lt;=18),BS29,ROUNDDOWN(AX29*(1-$BF$23),-2))))</f>
        <v>15700</v>
      </c>
      <c r="CJ29" s="188"/>
      <c r="CK29" s="188"/>
      <c r="CL29" s="188"/>
      <c r="CM29" s="175" t="s">
        <v>4</v>
      </c>
      <c r="CO29" s="192"/>
      <c r="CQ29" s="188">
        <f>IF(CI29="","",AP29+CI29)</f>
        <v>74800</v>
      </c>
      <c r="CR29" s="188"/>
      <c r="CS29" s="188"/>
      <c r="CT29" s="188"/>
      <c r="CU29" s="175" t="s">
        <v>4</v>
      </c>
    </row>
    <row r="30" spans="1:99" ht="6" customHeight="1">
      <c r="A30" s="192"/>
      <c r="B30" s="6"/>
      <c r="C30" s="8"/>
      <c r="D30" s="8"/>
      <c r="E30" s="8"/>
      <c r="F30" s="8"/>
      <c r="G30" s="8"/>
      <c r="H30" s="8"/>
      <c r="I30" s="8"/>
      <c r="J30" s="8"/>
      <c r="K30" s="9"/>
      <c r="L30" s="9"/>
      <c r="M30" s="9"/>
      <c r="N30" s="9"/>
      <c r="O30" s="9"/>
      <c r="P30" s="9"/>
      <c r="Q30" s="9"/>
      <c r="R30" s="192"/>
      <c r="T30" s="8"/>
      <c r="U30" s="8"/>
      <c r="V30" s="8"/>
      <c r="X30" s="183"/>
      <c r="Z30" s="8"/>
      <c r="AA30" s="8"/>
      <c r="AB30" s="8"/>
      <c r="AC30" s="8"/>
      <c r="AD30" s="8"/>
      <c r="AF30" s="183"/>
      <c r="AH30" s="11"/>
      <c r="AI30" s="11"/>
      <c r="AJ30" s="11"/>
      <c r="AK30" s="11"/>
      <c r="AL30" s="8"/>
      <c r="AN30" s="192"/>
      <c r="AP30" s="11"/>
      <c r="AQ30" s="11"/>
      <c r="AR30" s="11"/>
      <c r="AS30" s="11"/>
      <c r="AT30" s="8"/>
      <c r="AV30" s="183"/>
      <c r="AX30" s="8"/>
      <c r="AY30" s="8"/>
      <c r="AZ30" s="8"/>
      <c r="BA30" s="8"/>
      <c r="BB30" s="8"/>
      <c r="BD30" s="12"/>
      <c r="BI30" s="183"/>
      <c r="BK30" s="8"/>
      <c r="BL30" s="8"/>
      <c r="BM30" s="8"/>
      <c r="BN30" s="8"/>
      <c r="BO30" s="8"/>
      <c r="BQ30" s="183"/>
      <c r="BS30" s="8"/>
      <c r="BT30" s="8"/>
      <c r="BU30" s="8"/>
      <c r="BV30" s="8"/>
      <c r="BW30" s="8"/>
      <c r="BY30" s="183"/>
      <c r="CA30" s="8"/>
      <c r="CB30" s="8"/>
      <c r="CC30" s="8"/>
      <c r="CD30" s="8"/>
      <c r="CE30" s="8"/>
      <c r="CG30" s="192"/>
      <c r="CI30" s="11"/>
      <c r="CJ30" s="11"/>
      <c r="CK30" s="11"/>
      <c r="CL30" s="11"/>
      <c r="CM30" s="8"/>
      <c r="CO30" s="192"/>
      <c r="CQ30" s="11"/>
      <c r="CR30" s="11"/>
      <c r="CS30" s="11"/>
      <c r="CT30" s="11"/>
      <c r="CU30" s="8"/>
    </row>
    <row r="31" spans="1:99" ht="6" customHeight="1">
      <c r="A31" s="192"/>
      <c r="B31" s="6"/>
      <c r="C31" s="10"/>
      <c r="D31" s="10"/>
      <c r="E31" s="10"/>
      <c r="F31" s="10"/>
      <c r="G31" s="10"/>
      <c r="H31" s="10"/>
      <c r="I31" s="10"/>
      <c r="J31" s="10"/>
      <c r="K31" s="9"/>
      <c r="L31" s="9"/>
      <c r="M31" s="9"/>
      <c r="N31" s="9"/>
      <c r="O31" s="9"/>
      <c r="P31" s="9"/>
      <c r="Q31" s="9"/>
      <c r="R31" s="192"/>
      <c r="T31" s="10"/>
      <c r="U31" s="10"/>
      <c r="V31" s="10"/>
      <c r="X31" s="183"/>
      <c r="Z31" s="10"/>
      <c r="AA31" s="10"/>
      <c r="AB31" s="10"/>
      <c r="AC31" s="10"/>
      <c r="AD31" s="10"/>
      <c r="AF31" s="183"/>
      <c r="AH31" s="13"/>
      <c r="AI31" s="13"/>
      <c r="AJ31" s="13"/>
      <c r="AK31" s="13"/>
      <c r="AL31" s="10"/>
      <c r="AN31" s="192"/>
      <c r="AP31" s="13"/>
      <c r="AQ31" s="13"/>
      <c r="AR31" s="13"/>
      <c r="AS31" s="13"/>
      <c r="AT31" s="10"/>
      <c r="AV31" s="183"/>
      <c r="AX31" s="10"/>
      <c r="AY31" s="10"/>
      <c r="AZ31" s="10"/>
      <c r="BA31" s="10"/>
      <c r="BB31" s="10"/>
      <c r="BD31" s="12"/>
      <c r="BI31" s="183"/>
      <c r="BK31" s="10"/>
      <c r="BL31" s="10"/>
      <c r="BM31" s="10"/>
      <c r="BN31" s="10"/>
      <c r="BO31" s="10"/>
      <c r="BQ31" s="183"/>
      <c r="BS31" s="10"/>
      <c r="BT31" s="10"/>
      <c r="BU31" s="10"/>
      <c r="BV31" s="10"/>
      <c r="BW31" s="10"/>
      <c r="BY31" s="183"/>
      <c r="CA31" s="10"/>
      <c r="CB31" s="10"/>
      <c r="CC31" s="10"/>
      <c r="CD31" s="10"/>
      <c r="CE31" s="10"/>
      <c r="CG31" s="192"/>
      <c r="CI31" s="13"/>
      <c r="CJ31" s="13"/>
      <c r="CK31" s="13"/>
      <c r="CL31" s="13"/>
      <c r="CM31" s="10"/>
      <c r="CO31" s="192"/>
      <c r="CQ31" s="13"/>
      <c r="CR31" s="13"/>
      <c r="CS31" s="13"/>
      <c r="CT31" s="13"/>
      <c r="CU31" s="10"/>
    </row>
    <row r="32" spans="1:99" ht="20.100000000000001" customHeight="1">
      <c r="A32" s="192"/>
      <c r="B32" s="6"/>
      <c r="C32" s="4" t="s">
        <v>14</v>
      </c>
      <c r="F32" s="201">
        <v>500000</v>
      </c>
      <c r="G32" s="201"/>
      <c r="H32" s="201"/>
      <c r="I32" s="201"/>
      <c r="J32" s="175" t="s">
        <v>4</v>
      </c>
      <c r="K32" s="175"/>
      <c r="L32" s="203" t="s">
        <v>20</v>
      </c>
      <c r="M32" s="203"/>
      <c r="N32" s="203"/>
      <c r="O32" s="203"/>
      <c r="P32" s="175"/>
      <c r="Q32" s="175"/>
      <c r="R32" s="192"/>
      <c r="T32" s="202">
        <v>37</v>
      </c>
      <c r="U32" s="202"/>
      <c r="V32" s="175" t="s">
        <v>7</v>
      </c>
      <c r="W32" s="175"/>
      <c r="X32" s="183"/>
      <c r="Y32" s="175"/>
      <c r="Z32" s="175" t="s">
        <v>138</v>
      </c>
      <c r="AA32" s="189">
        <f>IF(T32="","",IF(AND(39&lt;T32+1,T32&lt;65),SUM($V$9:$Y$13),SUM($V$9:$Y$11)))</f>
        <v>9.57</v>
      </c>
      <c r="AB32" s="189"/>
      <c r="AC32" s="189"/>
      <c r="AD32" s="175" t="s">
        <v>134</v>
      </c>
      <c r="AF32" s="183"/>
      <c r="AH32" s="188">
        <f>IF(AA32="",0,MAX(ROUNDDOWN((F32-$AP$9)*AA32/100,-2),0,0))</f>
        <v>6600</v>
      </c>
      <c r="AI32" s="188"/>
      <c r="AJ32" s="188"/>
      <c r="AK32" s="188"/>
      <c r="AL32" s="175" t="s">
        <v>4</v>
      </c>
      <c r="AN32" s="192"/>
      <c r="AP32" s="191">
        <f>IF(T32="",0,MAX(SUM(AP34:AS38,0)))</f>
        <v>6600</v>
      </c>
      <c r="AQ32" s="191"/>
      <c r="AR32" s="191"/>
      <c r="AS32" s="191"/>
      <c r="AT32" s="175" t="s">
        <v>4</v>
      </c>
      <c r="AU32" s="175"/>
      <c r="AV32" s="183"/>
      <c r="AW32" s="175"/>
      <c r="AX32" s="184">
        <f>IF(T32="","",IF(AND(39&lt;T32+1,T32&lt;65),$BM$9+$BM$11+$BM$13,$BM$9+$BM$11))</f>
        <v>51500</v>
      </c>
      <c r="AY32" s="184"/>
      <c r="AZ32" s="184"/>
      <c r="BA32" s="184"/>
      <c r="BB32" s="175" t="s">
        <v>4</v>
      </c>
      <c r="BC32" s="175"/>
      <c r="BD32" s="12"/>
      <c r="BE32" s="175"/>
      <c r="BF32" s="12"/>
      <c r="BG32" s="12"/>
      <c r="BH32" s="12"/>
      <c r="BI32" s="183"/>
      <c r="BJ32" s="12"/>
      <c r="BK32" s="184">
        <f>IF(T32="","",IF(T32&lt;6,ROUNDDOWN(AX32*(1-$BF$23)*0.5,-2),IF(AND(6&lt;=T32+1,T32+1&lt;=18),0,0)))</f>
        <v>0</v>
      </c>
      <c r="BL32" s="184"/>
      <c r="BM32" s="184"/>
      <c r="BN32" s="184"/>
      <c r="BO32" s="175" t="s">
        <v>4</v>
      </c>
      <c r="BP32" s="12"/>
      <c r="BQ32" s="183"/>
      <c r="BR32" s="12"/>
      <c r="BS32" s="184">
        <f>IF(T32="",0,IF(T32&lt;6,0,IF(AND(5&lt;T32+1,T32+1&lt;=18),ROUNDDOWN(AX32*(1-$BF$23)*0.8,-2),0)))</f>
        <v>0</v>
      </c>
      <c r="BT32" s="184"/>
      <c r="BU32" s="184"/>
      <c r="BV32" s="184"/>
      <c r="BW32" s="175" t="s">
        <v>4</v>
      </c>
      <c r="BY32" s="183"/>
      <c r="BZ32" s="12"/>
      <c r="CA32" s="184">
        <f>IF(BS32=0,0,AX32-BS32)</f>
        <v>0</v>
      </c>
      <c r="CB32" s="184"/>
      <c r="CC32" s="184"/>
      <c r="CD32" s="184"/>
      <c r="CE32" s="175" t="s">
        <v>4</v>
      </c>
      <c r="CG32" s="192"/>
      <c r="CI32" s="191">
        <f>IF(T32="",0,IF(T32&lt;6,BK32,IF(AND(6&lt;=T32+1,T32+1&lt;=18),BS32,ROUNDDOWN(AX32*(1-$BF$23),-2))))</f>
        <v>51500</v>
      </c>
      <c r="CJ32" s="191"/>
      <c r="CK32" s="191"/>
      <c r="CL32" s="191"/>
      <c r="CM32" s="175" t="s">
        <v>4</v>
      </c>
      <c r="CO32" s="192"/>
      <c r="CQ32" s="191">
        <f>IF(CI32="","",AP32+CI32)</f>
        <v>58100</v>
      </c>
      <c r="CR32" s="191"/>
      <c r="CS32" s="191"/>
      <c r="CT32" s="191"/>
      <c r="CU32" s="175" t="s">
        <v>4</v>
      </c>
    </row>
    <row r="33" spans="1:99" ht="6" hidden="1" customHeight="1">
      <c r="A33" s="192"/>
      <c r="B33" s="6"/>
      <c r="C33" s="4"/>
      <c r="F33" s="176"/>
      <c r="G33" s="176"/>
      <c r="H33" s="176"/>
      <c r="I33" s="176"/>
      <c r="J33" s="175"/>
      <c r="K33" s="175"/>
      <c r="L33" s="175"/>
      <c r="M33" s="175"/>
      <c r="N33" s="175"/>
      <c r="O33" s="175"/>
      <c r="P33" s="175"/>
      <c r="Q33" s="175"/>
      <c r="R33" s="192"/>
      <c r="T33" s="82"/>
      <c r="U33" s="82"/>
      <c r="V33" s="175"/>
      <c r="W33" s="175"/>
      <c r="X33" s="183"/>
      <c r="Y33" s="175"/>
      <c r="Z33" s="175"/>
      <c r="AA33" s="177"/>
      <c r="AB33" s="177"/>
      <c r="AC33" s="177"/>
      <c r="AD33" s="175"/>
      <c r="AF33" s="183"/>
      <c r="AH33" s="178"/>
      <c r="AI33" s="178"/>
      <c r="AJ33" s="178"/>
      <c r="AK33" s="178"/>
      <c r="AL33" s="175"/>
      <c r="AN33" s="192"/>
      <c r="AP33" s="178"/>
      <c r="AQ33" s="178"/>
      <c r="AR33" s="178"/>
      <c r="AS33" s="178"/>
      <c r="AT33" s="175"/>
      <c r="AU33" s="175"/>
      <c r="AV33" s="183"/>
      <c r="AW33" s="175"/>
      <c r="AX33" s="176"/>
      <c r="AY33" s="176"/>
      <c r="AZ33" s="176"/>
      <c r="BA33" s="176"/>
      <c r="BB33" s="175"/>
      <c r="BC33" s="175"/>
      <c r="BD33" s="12"/>
      <c r="BE33" s="175"/>
      <c r="BF33" s="12"/>
      <c r="BG33" s="12"/>
      <c r="BH33" s="12"/>
      <c r="BI33" s="183"/>
      <c r="BJ33" s="12"/>
      <c r="BK33" s="176"/>
      <c r="BL33" s="176"/>
      <c r="BM33" s="176"/>
      <c r="BN33" s="176"/>
      <c r="BO33" s="175"/>
      <c r="BP33" s="12"/>
      <c r="BQ33" s="183"/>
      <c r="BR33" s="12"/>
      <c r="BS33" s="176"/>
      <c r="BT33" s="176"/>
      <c r="BU33" s="176"/>
      <c r="BV33" s="176"/>
      <c r="BW33" s="175"/>
      <c r="BY33" s="183"/>
      <c r="BZ33" s="12"/>
      <c r="CA33" s="176"/>
      <c r="CB33" s="176"/>
      <c r="CC33" s="176"/>
      <c r="CD33" s="176"/>
      <c r="CE33" s="175"/>
      <c r="CG33" s="192"/>
      <c r="CI33" s="178"/>
      <c r="CJ33" s="178"/>
      <c r="CK33" s="178"/>
      <c r="CL33" s="178"/>
      <c r="CM33" s="175"/>
      <c r="CO33" s="192"/>
      <c r="CQ33" s="178"/>
      <c r="CR33" s="178"/>
      <c r="CS33" s="178"/>
      <c r="CT33" s="178"/>
      <c r="CU33" s="175"/>
    </row>
    <row r="34" spans="1:99" ht="20.100000000000001" hidden="1" customHeight="1">
      <c r="A34" s="192"/>
      <c r="B34" s="6"/>
      <c r="C34" s="4"/>
      <c r="F34" s="176"/>
      <c r="G34" s="176"/>
      <c r="H34" s="176"/>
      <c r="I34" s="176"/>
      <c r="J34" s="175"/>
      <c r="K34" s="175"/>
      <c r="L34" s="175"/>
      <c r="M34" s="175"/>
      <c r="N34" s="175"/>
      <c r="O34" s="175"/>
      <c r="P34" s="175"/>
      <c r="Q34" s="175"/>
      <c r="R34" s="192"/>
      <c r="T34" s="82"/>
      <c r="U34" s="82"/>
      <c r="V34" s="175"/>
      <c r="W34" s="175"/>
      <c r="X34" s="183"/>
      <c r="Y34" s="175"/>
      <c r="Z34" s="175" t="s">
        <v>139</v>
      </c>
      <c r="AA34" s="189">
        <f>IF(T32="","",$V$9)</f>
        <v>6.72</v>
      </c>
      <c r="AB34" s="189"/>
      <c r="AC34" s="189"/>
      <c r="AD34" s="175" t="s">
        <v>134</v>
      </c>
      <c r="AF34" s="183"/>
      <c r="AH34" s="188">
        <f>IF(AA34="",0,MAX(ROUNDDOWN((F32-$AP$9)*AA34/100,-2),0,0))</f>
        <v>4700</v>
      </c>
      <c r="AI34" s="188"/>
      <c r="AJ34" s="188"/>
      <c r="AK34" s="188"/>
      <c r="AL34" s="175" t="s">
        <v>4</v>
      </c>
      <c r="AN34" s="192"/>
      <c r="AP34" s="188">
        <f>IF(T32="",0,IF($AZ$9&lt;=AH34,$AZ$9-CI34,IF(AH34&lt;$AZ$9,MIN(AH34,$AZ$9-CI34),0)))</f>
        <v>4700</v>
      </c>
      <c r="AQ34" s="188"/>
      <c r="AR34" s="188"/>
      <c r="AS34" s="188"/>
      <c r="AT34" s="175" t="s">
        <v>4</v>
      </c>
      <c r="AU34" s="175"/>
      <c r="AV34" s="183"/>
      <c r="AW34" s="175"/>
      <c r="AX34" s="184">
        <f>$BM$9</f>
        <v>35800</v>
      </c>
      <c r="AY34" s="184"/>
      <c r="AZ34" s="184"/>
      <c r="BA34" s="184"/>
      <c r="BB34" s="175" t="s">
        <v>4</v>
      </c>
      <c r="BC34" s="175"/>
      <c r="BD34" s="12"/>
      <c r="BE34" s="175"/>
      <c r="BF34" s="12"/>
      <c r="BG34" s="12"/>
      <c r="BH34" s="12"/>
      <c r="BI34" s="183"/>
      <c r="BJ34" s="12"/>
      <c r="BK34" s="184">
        <f>IF(T32="","",IF(T32&lt;6,ROUNDDOWN(AX34*(1-$BF$23)*0.5,-2),IF(AND(6&lt;=T32+1,T32+1&lt;=18),0,0)))</f>
        <v>0</v>
      </c>
      <c r="BL34" s="184"/>
      <c r="BM34" s="184"/>
      <c r="BN34" s="184"/>
      <c r="BO34" s="175" t="s">
        <v>4</v>
      </c>
      <c r="BP34" s="12"/>
      <c r="BQ34" s="183"/>
      <c r="BR34" s="12"/>
      <c r="BS34" s="184">
        <f>IF(T32="",0,IF(T32&lt;6,0,IF(AND(5&lt;T32+1,T32+1&lt;=18),ROUNDDOWN(AX34*(1-$BF$23)*0.8,-2),0)))</f>
        <v>0</v>
      </c>
      <c r="BT34" s="184"/>
      <c r="BU34" s="184"/>
      <c r="BV34" s="184"/>
      <c r="BW34" s="175" t="s">
        <v>4</v>
      </c>
      <c r="BY34" s="183"/>
      <c r="BZ34" s="12"/>
      <c r="CA34" s="184">
        <f>IF(BS34=0,0,AX34-BS34)</f>
        <v>0</v>
      </c>
      <c r="CB34" s="184"/>
      <c r="CC34" s="184"/>
      <c r="CD34" s="184"/>
      <c r="CE34" s="175" t="s">
        <v>4</v>
      </c>
      <c r="CG34" s="192"/>
      <c r="CI34" s="188">
        <f>IF(T32="",0,IF(T32&lt;6,BK34,IF(AND(6&lt;=T32+1,T32+1&lt;=18),BS34,ROUNDDOWN(AX34*(1-$BF$23),-2))))</f>
        <v>35800</v>
      </c>
      <c r="CJ34" s="188"/>
      <c r="CK34" s="188"/>
      <c r="CL34" s="188"/>
      <c r="CM34" s="175" t="s">
        <v>4</v>
      </c>
      <c r="CO34" s="192"/>
      <c r="CQ34" s="188">
        <f>IF(CI34="","",AP34+CI34)</f>
        <v>40500</v>
      </c>
      <c r="CR34" s="188"/>
      <c r="CS34" s="188"/>
      <c r="CT34" s="188"/>
      <c r="CU34" s="175" t="s">
        <v>4</v>
      </c>
    </row>
    <row r="35" spans="1:99" ht="6" hidden="1" customHeight="1">
      <c r="A35" s="192"/>
      <c r="B35" s="6"/>
      <c r="C35" s="4"/>
      <c r="F35" s="176"/>
      <c r="G35" s="176"/>
      <c r="H35" s="176"/>
      <c r="I35" s="176"/>
      <c r="J35" s="175"/>
      <c r="K35" s="175"/>
      <c r="L35" s="175"/>
      <c r="M35" s="175"/>
      <c r="N35" s="175"/>
      <c r="O35" s="175"/>
      <c r="P35" s="175"/>
      <c r="Q35" s="175"/>
      <c r="R35" s="192"/>
      <c r="T35" s="82"/>
      <c r="U35" s="82"/>
      <c r="V35" s="175"/>
      <c r="W35" s="175"/>
      <c r="X35" s="183"/>
      <c r="Y35" s="175"/>
      <c r="Z35" s="175"/>
      <c r="AA35" s="177"/>
      <c r="AB35" s="177"/>
      <c r="AC35" s="177"/>
      <c r="AD35" s="175"/>
      <c r="AF35" s="183"/>
      <c r="AH35" s="178"/>
      <c r="AI35" s="178"/>
      <c r="AJ35" s="178"/>
      <c r="AK35" s="178"/>
      <c r="AL35" s="175"/>
      <c r="AN35" s="192"/>
      <c r="AP35" s="178"/>
      <c r="AQ35" s="178"/>
      <c r="AR35" s="178"/>
      <c r="AS35" s="178"/>
      <c r="AT35" s="175"/>
      <c r="AU35" s="175"/>
      <c r="AV35" s="183"/>
      <c r="AW35" s="175"/>
      <c r="AX35" s="176"/>
      <c r="AY35" s="176"/>
      <c r="AZ35" s="176"/>
      <c r="BA35" s="176"/>
      <c r="BB35" s="175"/>
      <c r="BC35" s="175"/>
      <c r="BD35" s="12"/>
      <c r="BE35" s="175"/>
      <c r="BF35" s="12"/>
      <c r="BG35" s="12"/>
      <c r="BH35" s="12"/>
      <c r="BI35" s="183"/>
      <c r="BJ35" s="12"/>
      <c r="BK35" s="176"/>
      <c r="BL35" s="176"/>
      <c r="BM35" s="176"/>
      <c r="BN35" s="176"/>
      <c r="BO35" s="175"/>
      <c r="BP35" s="12"/>
      <c r="BQ35" s="183"/>
      <c r="BR35" s="12"/>
      <c r="BS35" s="176"/>
      <c r="BT35" s="176"/>
      <c r="BU35" s="176"/>
      <c r="BV35" s="176"/>
      <c r="BW35" s="175"/>
      <c r="BY35" s="183"/>
      <c r="BZ35" s="12"/>
      <c r="CA35" s="176"/>
      <c r="CB35" s="176"/>
      <c r="CC35" s="176"/>
      <c r="CD35" s="176"/>
      <c r="CE35" s="175"/>
      <c r="CG35" s="192"/>
      <c r="CI35" s="178"/>
      <c r="CJ35" s="178"/>
      <c r="CK35" s="178"/>
      <c r="CL35" s="178"/>
      <c r="CM35" s="175"/>
      <c r="CO35" s="192"/>
      <c r="CQ35" s="178"/>
      <c r="CR35" s="178"/>
      <c r="CS35" s="178"/>
      <c r="CT35" s="178"/>
      <c r="CU35" s="175"/>
    </row>
    <row r="36" spans="1:99" ht="20.100000000000001" hidden="1" customHeight="1">
      <c r="A36" s="192"/>
      <c r="B36" s="6"/>
      <c r="C36" s="4"/>
      <c r="F36" s="176"/>
      <c r="G36" s="176"/>
      <c r="H36" s="176"/>
      <c r="I36" s="176"/>
      <c r="J36" s="175"/>
      <c r="K36" s="175"/>
      <c r="L36" s="175"/>
      <c r="M36" s="175"/>
      <c r="N36" s="175"/>
      <c r="O36" s="175"/>
      <c r="P36" s="175"/>
      <c r="Q36" s="175"/>
      <c r="R36" s="192"/>
      <c r="T36" s="82"/>
      <c r="U36" s="82"/>
      <c r="V36" s="175"/>
      <c r="W36" s="175"/>
      <c r="X36" s="183"/>
      <c r="Y36" s="175"/>
      <c r="Z36" s="175" t="s">
        <v>140</v>
      </c>
      <c r="AA36" s="189">
        <f>IF(T32="","",$V$11)</f>
        <v>2.85</v>
      </c>
      <c r="AB36" s="189"/>
      <c r="AC36" s="189"/>
      <c r="AD36" s="175" t="s">
        <v>134</v>
      </c>
      <c r="AF36" s="183"/>
      <c r="AH36" s="188">
        <f>IF(AA36="",0,MAX(ROUNDDOWN((F32-$AP$9)*AA36/100,-2),0,0))</f>
        <v>1900</v>
      </c>
      <c r="AI36" s="188"/>
      <c r="AJ36" s="188"/>
      <c r="AK36" s="188"/>
      <c r="AL36" s="175" t="s">
        <v>4</v>
      </c>
      <c r="AN36" s="192"/>
      <c r="AP36" s="188">
        <f>IF(T32="",0,IF($AZ$11&lt;=AH36,$AZ$11-CI36,IF(AH36&lt;$AZ$11,MIN(AH36,$AZ$11-CI36),0)))</f>
        <v>1900</v>
      </c>
      <c r="AQ36" s="188"/>
      <c r="AR36" s="188"/>
      <c r="AS36" s="188"/>
      <c r="AT36" s="175" t="s">
        <v>4</v>
      </c>
      <c r="AU36" s="175"/>
      <c r="AV36" s="183"/>
      <c r="AW36" s="175"/>
      <c r="AX36" s="184">
        <f>$BM$11</f>
        <v>15700</v>
      </c>
      <c r="AY36" s="184"/>
      <c r="AZ36" s="184"/>
      <c r="BA36" s="184"/>
      <c r="BB36" s="175" t="s">
        <v>4</v>
      </c>
      <c r="BC36" s="175"/>
      <c r="BD36" s="12"/>
      <c r="BE36" s="175"/>
      <c r="BF36" s="12"/>
      <c r="BG36" s="12"/>
      <c r="BH36" s="12"/>
      <c r="BI36" s="183"/>
      <c r="BJ36" s="12"/>
      <c r="BK36" s="184">
        <f>IF(T32="","",IF(T32&lt;6,ROUNDDOWN(AX36*(1-$BF$23)*0.5,-2),IF(AND(6&lt;=T32+1,T32+1&lt;=18),0,0)))</f>
        <v>0</v>
      </c>
      <c r="BL36" s="184"/>
      <c r="BM36" s="184"/>
      <c r="BN36" s="184"/>
      <c r="BO36" s="175" t="s">
        <v>4</v>
      </c>
      <c r="BP36" s="12"/>
      <c r="BQ36" s="183"/>
      <c r="BR36" s="12"/>
      <c r="BS36" s="184">
        <f>IF(T32="",0,IF(T32&lt;6,0,IF(AND(5&lt;T32+1,T32+1&lt;=18),ROUNDDOWN(AX36*(1-$BF$23)*0.8,-2),0)))</f>
        <v>0</v>
      </c>
      <c r="BT36" s="184"/>
      <c r="BU36" s="184"/>
      <c r="BV36" s="184"/>
      <c r="BW36" s="175" t="s">
        <v>4</v>
      </c>
      <c r="BY36" s="183"/>
      <c r="BZ36" s="12"/>
      <c r="CA36" s="184">
        <f>IF(BS36=0,0,AX36-BS36)</f>
        <v>0</v>
      </c>
      <c r="CB36" s="184"/>
      <c r="CC36" s="184"/>
      <c r="CD36" s="184"/>
      <c r="CE36" s="175" t="s">
        <v>4</v>
      </c>
      <c r="CG36" s="192"/>
      <c r="CI36" s="188">
        <f>IF(T32="",0,IF(T32&lt;6,BK36,IF(AND(6&lt;=T32+1,T32+1&lt;=18),BS36,ROUNDDOWN(AX36*(1-$BF$23),-2))))</f>
        <v>15700</v>
      </c>
      <c r="CJ36" s="188"/>
      <c r="CK36" s="188"/>
      <c r="CL36" s="188"/>
      <c r="CM36" s="175" t="s">
        <v>4</v>
      </c>
      <c r="CO36" s="192"/>
      <c r="CQ36" s="188">
        <f>IF(CI36="","",AP36+CI36)</f>
        <v>17600</v>
      </c>
      <c r="CR36" s="188"/>
      <c r="CS36" s="188"/>
      <c r="CT36" s="188"/>
      <c r="CU36" s="175" t="s">
        <v>4</v>
      </c>
    </row>
    <row r="37" spans="1:99" ht="6" hidden="1" customHeight="1">
      <c r="A37" s="192"/>
      <c r="B37" s="6"/>
      <c r="C37" s="4"/>
      <c r="F37" s="176"/>
      <c r="G37" s="176"/>
      <c r="H37" s="176"/>
      <c r="I37" s="176"/>
      <c r="J37" s="175"/>
      <c r="K37" s="175"/>
      <c r="L37" s="175"/>
      <c r="M37" s="175"/>
      <c r="N37" s="175"/>
      <c r="O37" s="175"/>
      <c r="P37" s="175"/>
      <c r="Q37" s="175"/>
      <c r="R37" s="192"/>
      <c r="T37" s="82"/>
      <c r="U37" s="82"/>
      <c r="V37" s="175"/>
      <c r="W37" s="175"/>
      <c r="X37" s="183"/>
      <c r="Y37" s="175"/>
      <c r="Z37" s="175"/>
      <c r="AA37" s="177"/>
      <c r="AB37" s="177"/>
      <c r="AC37" s="177"/>
      <c r="AD37" s="175"/>
      <c r="AF37" s="183"/>
      <c r="AH37" s="178"/>
      <c r="AI37" s="178"/>
      <c r="AJ37" s="178"/>
      <c r="AK37" s="178"/>
      <c r="AL37" s="175"/>
      <c r="AN37" s="192"/>
      <c r="AP37" s="178"/>
      <c r="AQ37" s="178"/>
      <c r="AR37" s="178"/>
      <c r="AS37" s="178"/>
      <c r="AT37" s="175"/>
      <c r="AU37" s="175"/>
      <c r="AV37" s="183"/>
      <c r="AW37" s="175"/>
      <c r="AX37" s="176"/>
      <c r="AY37" s="176"/>
      <c r="AZ37" s="176"/>
      <c r="BA37" s="176"/>
      <c r="BB37" s="175"/>
      <c r="BC37" s="175"/>
      <c r="BD37" s="12"/>
      <c r="BE37" s="175"/>
      <c r="BF37" s="12"/>
      <c r="BG37" s="12"/>
      <c r="BH37" s="12"/>
      <c r="BI37" s="183"/>
      <c r="BJ37" s="12"/>
      <c r="BK37" s="176"/>
      <c r="BL37" s="176"/>
      <c r="BM37" s="176"/>
      <c r="BN37" s="176"/>
      <c r="BO37" s="175"/>
      <c r="BP37" s="12"/>
      <c r="BQ37" s="183"/>
      <c r="BR37" s="12"/>
      <c r="BS37" s="176"/>
      <c r="BT37" s="176"/>
      <c r="BU37" s="176"/>
      <c r="BV37" s="176"/>
      <c r="BW37" s="175"/>
      <c r="BY37" s="183"/>
      <c r="BZ37" s="12"/>
      <c r="CA37" s="176"/>
      <c r="CB37" s="176"/>
      <c r="CC37" s="176"/>
      <c r="CD37" s="176"/>
      <c r="CE37" s="175"/>
      <c r="CG37" s="192"/>
      <c r="CI37" s="178"/>
      <c r="CJ37" s="178"/>
      <c r="CK37" s="178"/>
      <c r="CL37" s="178"/>
      <c r="CM37" s="175"/>
      <c r="CO37" s="192"/>
      <c r="CQ37" s="178"/>
      <c r="CR37" s="178"/>
      <c r="CS37" s="178"/>
      <c r="CT37" s="178"/>
      <c r="CU37" s="175"/>
    </row>
    <row r="38" spans="1:99" ht="20.100000000000001" hidden="1" customHeight="1">
      <c r="A38" s="192"/>
      <c r="B38" s="6"/>
      <c r="C38" s="4"/>
      <c r="F38" s="176"/>
      <c r="G38" s="176"/>
      <c r="H38" s="176"/>
      <c r="I38" s="176"/>
      <c r="J38" s="175"/>
      <c r="K38" s="175"/>
      <c r="L38" s="175"/>
      <c r="M38" s="175"/>
      <c r="N38" s="175"/>
      <c r="O38" s="175"/>
      <c r="P38" s="175"/>
      <c r="Q38" s="175"/>
      <c r="R38" s="192"/>
      <c r="T38" s="82"/>
      <c r="U38" s="82"/>
      <c r="V38" s="175"/>
      <c r="W38" s="175"/>
      <c r="X38" s="183"/>
      <c r="Y38" s="175"/>
      <c r="Z38" s="175" t="s">
        <v>141</v>
      </c>
      <c r="AA38" s="189" t="str">
        <f>IF(T32="","",IF(AND(39&lt;T32+1,T32&lt;65),$V$13,""))</f>
        <v/>
      </c>
      <c r="AB38" s="189"/>
      <c r="AC38" s="189"/>
      <c r="AD38" s="175" t="s">
        <v>134</v>
      </c>
      <c r="AF38" s="183"/>
      <c r="AH38" s="188">
        <f>IF(AA38="",0,MAX(ROUNDDOWN((F32-$AP$9)*AA38/100,-2),0,0))</f>
        <v>0</v>
      </c>
      <c r="AI38" s="188"/>
      <c r="AJ38" s="188"/>
      <c r="AK38" s="188"/>
      <c r="AL38" s="175" t="s">
        <v>4</v>
      </c>
      <c r="AN38" s="192"/>
      <c r="AP38" s="188">
        <f>IF(T32="",0,IF($AZ$13&lt;=AH38,$AZ$13-CI38,IF(AH38&lt;$AZ$13,MIN(AH38,$AZ$13-CI38),0)))</f>
        <v>0</v>
      </c>
      <c r="AQ38" s="188"/>
      <c r="AR38" s="188"/>
      <c r="AS38" s="188"/>
      <c r="AT38" s="175" t="s">
        <v>4</v>
      </c>
      <c r="AU38" s="175"/>
      <c r="AV38" s="183"/>
      <c r="AW38" s="175"/>
      <c r="AX38" s="184">
        <f>IF(T32="",0,IF(AND(39&lt;T32+1,T32&lt;65),13600,0))</f>
        <v>0</v>
      </c>
      <c r="AY38" s="184"/>
      <c r="AZ38" s="184"/>
      <c r="BA38" s="184"/>
      <c r="BB38" s="175" t="s">
        <v>4</v>
      </c>
      <c r="BC38" s="175"/>
      <c r="BD38" s="12"/>
      <c r="BE38" s="175"/>
      <c r="BF38" s="12"/>
      <c r="BG38" s="12"/>
      <c r="BH38" s="12"/>
      <c r="BI38" s="183"/>
      <c r="BJ38" s="12"/>
      <c r="BK38" s="184">
        <f>IF(T32="","",IF(T32&lt;6,ROUNDDOWN(AX38*(1-$BF$23)*0.5,-2),IF(AND(6&lt;=T32+1,T32+1&lt;=18),0,0)))</f>
        <v>0</v>
      </c>
      <c r="BL38" s="184"/>
      <c r="BM38" s="184"/>
      <c r="BN38" s="184"/>
      <c r="BO38" s="175" t="s">
        <v>4</v>
      </c>
      <c r="BP38" s="12"/>
      <c r="BQ38" s="183"/>
      <c r="BR38" s="12"/>
      <c r="BS38" s="184">
        <f>IF(T32="",0,IF(T32&lt;6,0,IF(AND(5&lt;T32+1,T32+1&lt;=18),ROUNDDOWN(AX38*(1-$BF$23)*0.8,-2),0)))</f>
        <v>0</v>
      </c>
      <c r="BT38" s="184"/>
      <c r="BU38" s="184"/>
      <c r="BV38" s="184"/>
      <c r="BW38" s="175" t="s">
        <v>4</v>
      </c>
      <c r="BY38" s="183"/>
      <c r="BZ38" s="12"/>
      <c r="CA38" s="184">
        <f>IF(BS38=0,0,AX38-BS38)</f>
        <v>0</v>
      </c>
      <c r="CB38" s="184"/>
      <c r="CC38" s="184"/>
      <c r="CD38" s="184"/>
      <c r="CE38" s="175" t="s">
        <v>4</v>
      </c>
      <c r="CG38" s="192"/>
      <c r="CI38" s="188">
        <f>IF(T32="",0,IF(T32&lt;6,BK38,IF(AND(6&lt;=T32+1,T32+1&lt;=18),BS38,ROUNDDOWN(AX38*(1-$BF$23),-2))))</f>
        <v>0</v>
      </c>
      <c r="CJ38" s="188"/>
      <c r="CK38" s="188"/>
      <c r="CL38" s="188"/>
      <c r="CM38" s="175" t="s">
        <v>4</v>
      </c>
      <c r="CO38" s="192"/>
      <c r="CQ38" s="188">
        <f>IF(CI38="","",AP38+CI38)</f>
        <v>0</v>
      </c>
      <c r="CR38" s="188"/>
      <c r="CS38" s="188"/>
      <c r="CT38" s="188"/>
      <c r="CU38" s="175" t="s">
        <v>4</v>
      </c>
    </row>
    <row r="39" spans="1:99" ht="6" customHeight="1">
      <c r="A39" s="192"/>
      <c r="B39" s="6"/>
      <c r="C39" s="8"/>
      <c r="D39" s="8"/>
      <c r="E39" s="8"/>
      <c r="F39" s="8"/>
      <c r="G39" s="8"/>
      <c r="H39" s="8"/>
      <c r="I39" s="8"/>
      <c r="J39" s="8"/>
      <c r="K39" s="9"/>
      <c r="L39" s="9"/>
      <c r="M39" s="9"/>
      <c r="N39" s="9"/>
      <c r="O39" s="9"/>
      <c r="P39" s="9"/>
      <c r="Q39" s="9"/>
      <c r="R39" s="192"/>
      <c r="T39" s="8"/>
      <c r="U39" s="8"/>
      <c r="V39" s="8"/>
      <c r="X39" s="183"/>
      <c r="Z39" s="8"/>
      <c r="AA39" s="8"/>
      <c r="AB39" s="8"/>
      <c r="AC39" s="8"/>
      <c r="AD39" s="8"/>
      <c r="AF39" s="183"/>
      <c r="AH39" s="8"/>
      <c r="AI39" s="8"/>
      <c r="AJ39" s="8"/>
      <c r="AK39" s="8"/>
      <c r="AL39" s="8"/>
      <c r="AN39" s="192"/>
      <c r="AP39" s="11"/>
      <c r="AQ39" s="11"/>
      <c r="AR39" s="11"/>
      <c r="AS39" s="11"/>
      <c r="AT39" s="8"/>
      <c r="AV39" s="183"/>
      <c r="AX39" s="11"/>
      <c r="AY39" s="11"/>
      <c r="AZ39" s="11"/>
      <c r="BA39" s="11"/>
      <c r="BB39" s="8"/>
      <c r="BD39" s="12"/>
      <c r="BF39" s="12"/>
      <c r="BG39" s="12"/>
      <c r="BH39" s="12"/>
      <c r="BI39" s="183"/>
      <c r="BJ39" s="12"/>
      <c r="BK39" s="11"/>
      <c r="BL39" s="11"/>
      <c r="BM39" s="11"/>
      <c r="BN39" s="11"/>
      <c r="BO39" s="8"/>
      <c r="BP39" s="12"/>
      <c r="BQ39" s="183"/>
      <c r="BR39" s="12"/>
      <c r="BS39" s="11"/>
      <c r="BT39" s="11"/>
      <c r="BU39" s="11"/>
      <c r="BV39" s="11"/>
      <c r="BW39" s="8"/>
      <c r="BY39" s="183"/>
      <c r="BZ39" s="12"/>
      <c r="CA39" s="11"/>
      <c r="CB39" s="11"/>
      <c r="CC39" s="11"/>
      <c r="CD39" s="11"/>
      <c r="CE39" s="8"/>
      <c r="CG39" s="192"/>
      <c r="CI39" s="11"/>
      <c r="CJ39" s="11"/>
      <c r="CK39" s="11"/>
      <c r="CL39" s="11"/>
      <c r="CM39" s="8"/>
      <c r="CO39" s="192"/>
      <c r="CQ39" s="11"/>
      <c r="CR39" s="11"/>
      <c r="CS39" s="11"/>
      <c r="CT39" s="11"/>
      <c r="CU39" s="8"/>
    </row>
    <row r="40" spans="1:99" ht="6" customHeight="1">
      <c r="A40" s="192"/>
      <c r="B40" s="6"/>
      <c r="C40" s="10"/>
      <c r="D40" s="10"/>
      <c r="E40" s="10"/>
      <c r="F40" s="10"/>
      <c r="G40" s="10"/>
      <c r="H40" s="10"/>
      <c r="I40" s="10"/>
      <c r="J40" s="10"/>
      <c r="K40" s="9"/>
      <c r="L40" s="9"/>
      <c r="M40" s="9"/>
      <c r="N40" s="9"/>
      <c r="O40" s="9"/>
      <c r="P40" s="9"/>
      <c r="Q40" s="9"/>
      <c r="R40" s="192"/>
      <c r="T40" s="10"/>
      <c r="U40" s="10"/>
      <c r="V40" s="10"/>
      <c r="X40" s="183"/>
      <c r="Z40" s="10"/>
      <c r="AA40" s="10"/>
      <c r="AB40" s="10"/>
      <c r="AC40" s="10"/>
      <c r="AD40" s="10"/>
      <c r="AF40" s="183"/>
      <c r="AH40" s="10"/>
      <c r="AI40" s="10"/>
      <c r="AJ40" s="10"/>
      <c r="AK40" s="10"/>
      <c r="AL40" s="10"/>
      <c r="AN40" s="192"/>
      <c r="AP40" s="13"/>
      <c r="AQ40" s="13"/>
      <c r="AR40" s="13"/>
      <c r="AS40" s="13"/>
      <c r="AT40" s="10"/>
      <c r="AV40" s="183"/>
      <c r="AX40" s="13"/>
      <c r="AY40" s="13"/>
      <c r="AZ40" s="13"/>
      <c r="BA40" s="13"/>
      <c r="BB40" s="10"/>
      <c r="BD40" s="12"/>
      <c r="BF40" s="12"/>
      <c r="BG40" s="12"/>
      <c r="BH40" s="12"/>
      <c r="BI40" s="183"/>
      <c r="BJ40" s="12"/>
      <c r="BK40" s="13"/>
      <c r="BL40" s="13"/>
      <c r="BM40" s="13"/>
      <c r="BN40" s="13"/>
      <c r="BO40" s="10"/>
      <c r="BP40" s="12"/>
      <c r="BQ40" s="183"/>
      <c r="BR40" s="12"/>
      <c r="BS40" s="13"/>
      <c r="BT40" s="13"/>
      <c r="BU40" s="13"/>
      <c r="BV40" s="13"/>
      <c r="BW40" s="10"/>
      <c r="BY40" s="183"/>
      <c r="BZ40" s="12"/>
      <c r="CA40" s="13"/>
      <c r="CB40" s="13"/>
      <c r="CC40" s="13"/>
      <c r="CD40" s="13"/>
      <c r="CE40" s="10"/>
      <c r="CG40" s="192"/>
      <c r="CI40" s="13"/>
      <c r="CJ40" s="13"/>
      <c r="CK40" s="13"/>
      <c r="CL40" s="13"/>
      <c r="CM40" s="10"/>
      <c r="CO40" s="192"/>
      <c r="CQ40" s="13"/>
      <c r="CR40" s="13"/>
      <c r="CS40" s="13"/>
      <c r="CT40" s="13"/>
      <c r="CU40" s="10"/>
    </row>
    <row r="41" spans="1:99" ht="20.100000000000001" customHeight="1">
      <c r="A41" s="192"/>
      <c r="B41" s="6"/>
      <c r="C41" s="4" t="s">
        <v>15</v>
      </c>
      <c r="F41" s="201">
        <v>0</v>
      </c>
      <c r="G41" s="201"/>
      <c r="H41" s="201"/>
      <c r="I41" s="201"/>
      <c r="J41" s="175" t="s">
        <v>4</v>
      </c>
      <c r="K41" s="175"/>
      <c r="L41" s="14"/>
      <c r="M41" s="175"/>
      <c r="N41" s="175"/>
      <c r="O41" s="175"/>
      <c r="P41" s="175"/>
      <c r="Q41" s="175"/>
      <c r="R41" s="192"/>
      <c r="T41" s="202">
        <v>8</v>
      </c>
      <c r="U41" s="202"/>
      <c r="V41" s="175" t="s">
        <v>7</v>
      </c>
      <c r="W41" s="175"/>
      <c r="X41" s="183"/>
      <c r="Y41" s="175"/>
      <c r="Z41" s="175" t="s">
        <v>138</v>
      </c>
      <c r="AA41" s="189">
        <f>IF(T41="","",IF(AND(39&lt;T41+1,T41&lt;65),SUM($V$9:$Y$13),SUM($V$9:$Y$11)))</f>
        <v>9.57</v>
      </c>
      <c r="AB41" s="189"/>
      <c r="AC41" s="189"/>
      <c r="AD41" s="175" t="s">
        <v>134</v>
      </c>
      <c r="AF41" s="183"/>
      <c r="AH41" s="188">
        <f>IF(AA41="",0,MAX(ROUNDDOWN((F41-$AP$9)*AA41/100,-2),0,0))</f>
        <v>0</v>
      </c>
      <c r="AI41" s="188"/>
      <c r="AJ41" s="188"/>
      <c r="AK41" s="188"/>
      <c r="AL41" s="175" t="s">
        <v>4</v>
      </c>
      <c r="AN41" s="192"/>
      <c r="AP41" s="191">
        <f>IF(T41="",0,MAX(SUM(AP43:AS47,0)))</f>
        <v>0</v>
      </c>
      <c r="AQ41" s="191"/>
      <c r="AR41" s="191"/>
      <c r="AS41" s="191"/>
      <c r="AT41" s="175" t="s">
        <v>4</v>
      </c>
      <c r="AU41" s="175"/>
      <c r="AV41" s="183"/>
      <c r="AW41" s="175"/>
      <c r="AX41" s="184">
        <f>IF(T41="","",IF(AND(39&lt;T41+1,T41&lt;65),$BM$9+$BM$11+$BM$13,$BM$9+$BM$11))</f>
        <v>51500</v>
      </c>
      <c r="AY41" s="184"/>
      <c r="AZ41" s="184"/>
      <c r="BA41" s="184"/>
      <c r="BB41" s="175" t="s">
        <v>4</v>
      </c>
      <c r="BC41" s="175"/>
      <c r="BD41" s="12"/>
      <c r="BE41" s="175"/>
      <c r="BF41" s="12"/>
      <c r="BG41" s="12"/>
      <c r="BH41" s="12"/>
      <c r="BI41" s="183"/>
      <c r="BJ41" s="12"/>
      <c r="BK41" s="184">
        <f>IF(T41="","",IF(T41&lt;6,ROUNDDOWN(AX41*(1-$BF$23)*0.5,-2),IF(AND(6&lt;=T41+1,T41+1&lt;=18),0,0)))</f>
        <v>0</v>
      </c>
      <c r="BL41" s="184"/>
      <c r="BM41" s="184"/>
      <c r="BN41" s="184"/>
      <c r="BO41" s="175" t="s">
        <v>4</v>
      </c>
      <c r="BP41" s="12"/>
      <c r="BQ41" s="183"/>
      <c r="BR41" s="12"/>
      <c r="BS41" s="184">
        <f>IF(T41="",0,IF(T41&lt;6,0,IF(AND(5&lt;T41+1,T41+1&lt;=18),ROUNDDOWN(AX41*(1-$BF$23)*0.8,-2),0)))</f>
        <v>41200</v>
      </c>
      <c r="BT41" s="184"/>
      <c r="BU41" s="184"/>
      <c r="BV41" s="184"/>
      <c r="BW41" s="175" t="s">
        <v>4</v>
      </c>
      <c r="BY41" s="183"/>
      <c r="BZ41" s="12"/>
      <c r="CA41" s="184">
        <f>IF(BS41=0,0,AX41-BS41)</f>
        <v>10300</v>
      </c>
      <c r="CB41" s="184"/>
      <c r="CC41" s="184"/>
      <c r="CD41" s="184"/>
      <c r="CE41" s="175" t="s">
        <v>4</v>
      </c>
      <c r="CG41" s="192"/>
      <c r="CI41" s="191">
        <f>IF(T41="",0,IF(T41&lt;6,BK41,IF(AND(6&lt;=T41+1,T41+1&lt;=18),BS41,ROUNDDOWN(AX41*(1-$BF$23),-2))))</f>
        <v>41200</v>
      </c>
      <c r="CJ41" s="191"/>
      <c r="CK41" s="191"/>
      <c r="CL41" s="191"/>
      <c r="CM41" s="175" t="s">
        <v>4</v>
      </c>
      <c r="CO41" s="192"/>
      <c r="CQ41" s="191">
        <f>IF(CI41="","",AP41+CI41)</f>
        <v>41200</v>
      </c>
      <c r="CR41" s="191"/>
      <c r="CS41" s="191"/>
      <c r="CT41" s="191"/>
      <c r="CU41" s="175" t="s">
        <v>4</v>
      </c>
    </row>
    <row r="42" spans="1:99" ht="6" hidden="1" customHeight="1">
      <c r="A42" s="192"/>
      <c r="B42" s="6"/>
      <c r="C42" s="4"/>
      <c r="F42" s="176"/>
      <c r="G42" s="176"/>
      <c r="H42" s="176"/>
      <c r="I42" s="176"/>
      <c r="J42" s="175"/>
      <c r="K42" s="175"/>
      <c r="L42" s="14"/>
      <c r="M42" s="175"/>
      <c r="N42" s="175"/>
      <c r="O42" s="175"/>
      <c r="P42" s="175"/>
      <c r="Q42" s="175"/>
      <c r="R42" s="192"/>
      <c r="T42" s="82"/>
      <c r="U42" s="82"/>
      <c r="V42" s="175"/>
      <c r="W42" s="175"/>
      <c r="X42" s="183"/>
      <c r="Y42" s="175"/>
      <c r="Z42" s="175"/>
      <c r="AA42" s="177"/>
      <c r="AB42" s="177"/>
      <c r="AC42" s="177"/>
      <c r="AD42" s="175"/>
      <c r="AF42" s="183"/>
      <c r="AH42" s="178"/>
      <c r="AI42" s="178"/>
      <c r="AJ42" s="178"/>
      <c r="AK42" s="178"/>
      <c r="AL42" s="175"/>
      <c r="AN42" s="192"/>
      <c r="AP42" s="178"/>
      <c r="AQ42" s="178"/>
      <c r="AR42" s="178"/>
      <c r="AS42" s="178"/>
      <c r="AT42" s="175"/>
      <c r="AU42" s="175"/>
      <c r="AV42" s="183"/>
      <c r="AW42" s="175"/>
      <c r="AX42" s="176"/>
      <c r="AY42" s="176"/>
      <c r="AZ42" s="176"/>
      <c r="BA42" s="176"/>
      <c r="BB42" s="175"/>
      <c r="BC42" s="175"/>
      <c r="BD42" s="12"/>
      <c r="BE42" s="175"/>
      <c r="BF42" s="12"/>
      <c r="BG42" s="12"/>
      <c r="BH42" s="12"/>
      <c r="BI42" s="183"/>
      <c r="BJ42" s="12"/>
      <c r="BK42" s="176"/>
      <c r="BL42" s="176"/>
      <c r="BM42" s="176"/>
      <c r="BN42" s="176"/>
      <c r="BO42" s="175"/>
      <c r="BP42" s="12"/>
      <c r="BQ42" s="183"/>
      <c r="BR42" s="12"/>
      <c r="BS42" s="176"/>
      <c r="BT42" s="176"/>
      <c r="BU42" s="176"/>
      <c r="BV42" s="176"/>
      <c r="BW42" s="175"/>
      <c r="BY42" s="183"/>
      <c r="BZ42" s="12"/>
      <c r="CA42" s="176"/>
      <c r="CB42" s="176"/>
      <c r="CC42" s="176"/>
      <c r="CD42" s="176"/>
      <c r="CE42" s="175"/>
      <c r="CG42" s="192"/>
      <c r="CI42" s="178"/>
      <c r="CJ42" s="178"/>
      <c r="CK42" s="178"/>
      <c r="CL42" s="178"/>
      <c r="CM42" s="175"/>
      <c r="CO42" s="192"/>
      <c r="CQ42" s="178"/>
      <c r="CR42" s="178"/>
      <c r="CS42" s="178"/>
      <c r="CT42" s="178"/>
      <c r="CU42" s="175"/>
    </row>
    <row r="43" spans="1:99" ht="20.100000000000001" hidden="1" customHeight="1">
      <c r="A43" s="192"/>
      <c r="B43" s="6"/>
      <c r="C43" s="4"/>
      <c r="F43" s="176"/>
      <c r="G43" s="176"/>
      <c r="H43" s="176"/>
      <c r="I43" s="176"/>
      <c r="J43" s="175"/>
      <c r="K43" s="175"/>
      <c r="L43" s="14"/>
      <c r="M43" s="175"/>
      <c r="N43" s="175"/>
      <c r="O43" s="175"/>
      <c r="P43" s="175"/>
      <c r="Q43" s="175"/>
      <c r="R43" s="192"/>
      <c r="T43" s="82"/>
      <c r="U43" s="82"/>
      <c r="V43" s="175"/>
      <c r="W43" s="175"/>
      <c r="X43" s="183"/>
      <c r="Y43" s="175"/>
      <c r="Z43" s="175" t="s">
        <v>139</v>
      </c>
      <c r="AA43" s="189">
        <f>IF(T41="","",$V$9)</f>
        <v>6.72</v>
      </c>
      <c r="AB43" s="189"/>
      <c r="AC43" s="189"/>
      <c r="AD43" s="175" t="s">
        <v>134</v>
      </c>
      <c r="AF43" s="183"/>
      <c r="AH43" s="188">
        <f>IF(AA43="",0,MAX(ROUNDDOWN((F41-$AP$9)*AA43/100,-2),0,0))</f>
        <v>0</v>
      </c>
      <c r="AI43" s="188"/>
      <c r="AJ43" s="188"/>
      <c r="AK43" s="188"/>
      <c r="AL43" s="175" t="s">
        <v>4</v>
      </c>
      <c r="AN43" s="192"/>
      <c r="AP43" s="188">
        <f>IF(T41="",0,IF($AZ$9&lt;=AH43,$AZ$9-CI43,IF(AH43&lt;$AZ$9,MIN(AH43,$AZ$9-CI43),0)))</f>
        <v>0</v>
      </c>
      <c r="AQ43" s="188"/>
      <c r="AR43" s="188"/>
      <c r="AS43" s="188"/>
      <c r="AT43" s="175" t="s">
        <v>4</v>
      </c>
      <c r="AU43" s="175"/>
      <c r="AV43" s="183"/>
      <c r="AW43" s="175"/>
      <c r="AX43" s="184">
        <f>$BM$9</f>
        <v>35800</v>
      </c>
      <c r="AY43" s="184"/>
      <c r="AZ43" s="184"/>
      <c r="BA43" s="184"/>
      <c r="BB43" s="175" t="s">
        <v>4</v>
      </c>
      <c r="BC43" s="175"/>
      <c r="BD43" s="12"/>
      <c r="BE43" s="175"/>
      <c r="BF43" s="12"/>
      <c r="BG43" s="12"/>
      <c r="BH43" s="12"/>
      <c r="BI43" s="183"/>
      <c r="BJ43" s="12"/>
      <c r="BK43" s="184">
        <f>IF(T41="","",IF(T41&lt;6,ROUNDDOWN(AX43*(1-$BF$23)*0.5,-2),IF(AND(6&lt;=T41+1,T41+1&lt;=18),0,0)))</f>
        <v>0</v>
      </c>
      <c r="BL43" s="184"/>
      <c r="BM43" s="184"/>
      <c r="BN43" s="184"/>
      <c r="BO43" s="175" t="s">
        <v>4</v>
      </c>
      <c r="BP43" s="12"/>
      <c r="BQ43" s="183"/>
      <c r="BR43" s="12"/>
      <c r="BS43" s="184">
        <f>IF(T41="",0,IF(T41&lt;6,0,IF(AND(5&lt;T41+1,T41+1&lt;=18),ROUNDDOWN(AX43*(1-$BF$23)*0.8,-2),0)))</f>
        <v>28600</v>
      </c>
      <c r="BT43" s="184"/>
      <c r="BU43" s="184"/>
      <c r="BV43" s="184"/>
      <c r="BW43" s="175" t="s">
        <v>4</v>
      </c>
      <c r="BY43" s="183"/>
      <c r="BZ43" s="12"/>
      <c r="CA43" s="184">
        <f>IF(BS43=0,0,AX43-BS43)</f>
        <v>7200</v>
      </c>
      <c r="CB43" s="184"/>
      <c r="CC43" s="184"/>
      <c r="CD43" s="184"/>
      <c r="CE43" s="175" t="s">
        <v>4</v>
      </c>
      <c r="CG43" s="192"/>
      <c r="CI43" s="188">
        <f>IF(T41="",0,IF(T41&lt;6,BK43,IF(AND(6&lt;=T41+1,T41+1&lt;=18),BS43,ROUNDDOWN(AX43*(1-$BF$23),-2))))</f>
        <v>28600</v>
      </c>
      <c r="CJ43" s="188"/>
      <c r="CK43" s="188"/>
      <c r="CL43" s="188"/>
      <c r="CM43" s="175" t="s">
        <v>4</v>
      </c>
      <c r="CO43" s="192"/>
      <c r="CQ43" s="188">
        <f>IF(CI43="","",AP43+CI43)</f>
        <v>28600</v>
      </c>
      <c r="CR43" s="188"/>
      <c r="CS43" s="188"/>
      <c r="CT43" s="188"/>
      <c r="CU43" s="175" t="s">
        <v>4</v>
      </c>
    </row>
    <row r="44" spans="1:99" ht="6" hidden="1" customHeight="1">
      <c r="A44" s="192"/>
      <c r="B44" s="6"/>
      <c r="C44" s="4"/>
      <c r="F44" s="176"/>
      <c r="G44" s="176"/>
      <c r="H44" s="176"/>
      <c r="I44" s="176"/>
      <c r="J44" s="175"/>
      <c r="K44" s="175"/>
      <c r="L44" s="14"/>
      <c r="M44" s="175"/>
      <c r="N44" s="175"/>
      <c r="O44" s="175"/>
      <c r="P44" s="175"/>
      <c r="Q44" s="175"/>
      <c r="R44" s="192"/>
      <c r="T44" s="82"/>
      <c r="U44" s="82"/>
      <c r="V44" s="175"/>
      <c r="W44" s="175"/>
      <c r="X44" s="183"/>
      <c r="Y44" s="175"/>
      <c r="Z44" s="175"/>
      <c r="AA44" s="177"/>
      <c r="AB44" s="177"/>
      <c r="AC44" s="177"/>
      <c r="AD44" s="175"/>
      <c r="AF44" s="183"/>
      <c r="AH44" s="178"/>
      <c r="AI44" s="178"/>
      <c r="AJ44" s="178"/>
      <c r="AK44" s="178"/>
      <c r="AL44" s="175"/>
      <c r="AN44" s="192"/>
      <c r="AP44" s="178"/>
      <c r="AQ44" s="178"/>
      <c r="AR44" s="178"/>
      <c r="AS44" s="178"/>
      <c r="AT44" s="175"/>
      <c r="AU44" s="175"/>
      <c r="AV44" s="183"/>
      <c r="AW44" s="175"/>
      <c r="AX44" s="176"/>
      <c r="AY44" s="176"/>
      <c r="AZ44" s="176"/>
      <c r="BA44" s="176"/>
      <c r="BB44" s="175"/>
      <c r="BC44" s="175"/>
      <c r="BD44" s="12"/>
      <c r="BE44" s="175"/>
      <c r="BF44" s="12"/>
      <c r="BG44" s="12"/>
      <c r="BH44" s="12"/>
      <c r="BI44" s="183"/>
      <c r="BJ44" s="12"/>
      <c r="BK44" s="176"/>
      <c r="BL44" s="176"/>
      <c r="BM44" s="176"/>
      <c r="BN44" s="176"/>
      <c r="BO44" s="175"/>
      <c r="BP44" s="12"/>
      <c r="BQ44" s="183"/>
      <c r="BR44" s="12"/>
      <c r="BS44" s="176"/>
      <c r="BT44" s="176"/>
      <c r="BU44" s="176"/>
      <c r="BV44" s="176"/>
      <c r="BW44" s="175"/>
      <c r="BY44" s="183"/>
      <c r="BZ44" s="12"/>
      <c r="CA44" s="176"/>
      <c r="CB44" s="176"/>
      <c r="CC44" s="176"/>
      <c r="CD44" s="176"/>
      <c r="CE44" s="175"/>
      <c r="CG44" s="192"/>
      <c r="CI44" s="178"/>
      <c r="CJ44" s="178"/>
      <c r="CK44" s="178"/>
      <c r="CL44" s="178"/>
      <c r="CM44" s="175"/>
      <c r="CO44" s="192"/>
      <c r="CQ44" s="178"/>
      <c r="CR44" s="178"/>
      <c r="CS44" s="178"/>
      <c r="CT44" s="178"/>
      <c r="CU44" s="175"/>
    </row>
    <row r="45" spans="1:99" ht="20.100000000000001" hidden="1" customHeight="1">
      <c r="A45" s="192"/>
      <c r="B45" s="6"/>
      <c r="C45" s="4"/>
      <c r="F45" s="176"/>
      <c r="G45" s="176"/>
      <c r="H45" s="176"/>
      <c r="I45" s="176"/>
      <c r="J45" s="175"/>
      <c r="K45" s="175"/>
      <c r="L45" s="14"/>
      <c r="M45" s="175"/>
      <c r="N45" s="175"/>
      <c r="O45" s="175"/>
      <c r="P45" s="175"/>
      <c r="Q45" s="175"/>
      <c r="R45" s="192"/>
      <c r="T45" s="82"/>
      <c r="U45" s="82"/>
      <c r="V45" s="175"/>
      <c r="W45" s="175"/>
      <c r="X45" s="183"/>
      <c r="Y45" s="175"/>
      <c r="Z45" s="175" t="s">
        <v>140</v>
      </c>
      <c r="AA45" s="189">
        <f>IF(T41="","",$V$11)</f>
        <v>2.85</v>
      </c>
      <c r="AB45" s="189"/>
      <c r="AC45" s="189"/>
      <c r="AD45" s="175" t="s">
        <v>134</v>
      </c>
      <c r="AF45" s="183"/>
      <c r="AH45" s="188">
        <f>IF(AA45="",0,MAX(ROUNDDOWN((F41-$AP$9)*AA45/100,-2),0,0))</f>
        <v>0</v>
      </c>
      <c r="AI45" s="188"/>
      <c r="AJ45" s="188"/>
      <c r="AK45" s="188"/>
      <c r="AL45" s="175" t="s">
        <v>4</v>
      </c>
      <c r="AN45" s="192"/>
      <c r="AP45" s="188">
        <f>IF(T41="",0,IF($AZ$11&lt;=AH45,$AZ$11-CI45,IF(AH45&lt;$AZ$11,MIN(AH45,$AZ$11-CI45),0)))</f>
        <v>0</v>
      </c>
      <c r="AQ45" s="188"/>
      <c r="AR45" s="188"/>
      <c r="AS45" s="188"/>
      <c r="AT45" s="175" t="s">
        <v>4</v>
      </c>
      <c r="AU45" s="175"/>
      <c r="AV45" s="183"/>
      <c r="AW45" s="175"/>
      <c r="AX45" s="184">
        <f>$BM$11</f>
        <v>15700</v>
      </c>
      <c r="AY45" s="184"/>
      <c r="AZ45" s="184"/>
      <c r="BA45" s="184"/>
      <c r="BB45" s="175" t="s">
        <v>4</v>
      </c>
      <c r="BC45" s="175"/>
      <c r="BD45" s="12"/>
      <c r="BE45" s="175"/>
      <c r="BF45" s="12"/>
      <c r="BG45" s="12"/>
      <c r="BH45" s="12"/>
      <c r="BI45" s="183"/>
      <c r="BJ45" s="12"/>
      <c r="BK45" s="184">
        <f>IF(T41="","",IF(T41&lt;6,ROUNDDOWN(AX45*(1-$BF$23)*0.5,-2),IF(AND(6&lt;=T41+1,T41+1&lt;=18),0,0)))</f>
        <v>0</v>
      </c>
      <c r="BL45" s="184"/>
      <c r="BM45" s="184"/>
      <c r="BN45" s="184"/>
      <c r="BO45" s="175" t="s">
        <v>4</v>
      </c>
      <c r="BP45" s="12"/>
      <c r="BQ45" s="183"/>
      <c r="BR45" s="12"/>
      <c r="BS45" s="184">
        <f>IF(T41="",0,IF(T41&lt;6,0,IF(AND(5&lt;T41+1,T41+1&lt;=18),ROUNDDOWN(AX45*(1-$BF$23)*0.8,-2),0)))</f>
        <v>12500</v>
      </c>
      <c r="BT45" s="184"/>
      <c r="BU45" s="184"/>
      <c r="BV45" s="184"/>
      <c r="BW45" s="175" t="s">
        <v>4</v>
      </c>
      <c r="BY45" s="183"/>
      <c r="BZ45" s="12"/>
      <c r="CA45" s="184">
        <f>IF(BS45=0,0,AX45-BS45)</f>
        <v>3200</v>
      </c>
      <c r="CB45" s="184"/>
      <c r="CC45" s="184"/>
      <c r="CD45" s="184"/>
      <c r="CE45" s="175" t="s">
        <v>4</v>
      </c>
      <c r="CG45" s="192"/>
      <c r="CI45" s="188">
        <f>IF(T41="",0,IF(T41&lt;6,BK45,IF(AND(6&lt;=T41+1,T41+1&lt;=18),BS45,ROUNDDOWN(AX45*(1-$BF$23),-2))))</f>
        <v>12500</v>
      </c>
      <c r="CJ45" s="188"/>
      <c r="CK45" s="188"/>
      <c r="CL45" s="188"/>
      <c r="CM45" s="175" t="s">
        <v>4</v>
      </c>
      <c r="CO45" s="192"/>
      <c r="CQ45" s="188">
        <f>IF(CI45="","",AP45+CI45)</f>
        <v>12500</v>
      </c>
      <c r="CR45" s="188"/>
      <c r="CS45" s="188"/>
      <c r="CT45" s="188"/>
      <c r="CU45" s="175" t="s">
        <v>4</v>
      </c>
    </row>
    <row r="46" spans="1:99" ht="6" hidden="1" customHeight="1">
      <c r="A46" s="192"/>
      <c r="B46" s="6"/>
      <c r="C46" s="4"/>
      <c r="F46" s="176"/>
      <c r="G46" s="176"/>
      <c r="H46" s="176"/>
      <c r="I46" s="176"/>
      <c r="J46" s="175"/>
      <c r="K46" s="175"/>
      <c r="L46" s="14"/>
      <c r="M46" s="175"/>
      <c r="N46" s="175"/>
      <c r="O46" s="175"/>
      <c r="P46" s="175"/>
      <c r="Q46" s="175"/>
      <c r="R46" s="192"/>
      <c r="T46" s="82"/>
      <c r="U46" s="82"/>
      <c r="V46" s="175"/>
      <c r="W46" s="175"/>
      <c r="X46" s="183"/>
      <c r="Y46" s="175"/>
      <c r="Z46" s="175"/>
      <c r="AA46" s="177"/>
      <c r="AB46" s="177"/>
      <c r="AC46" s="177"/>
      <c r="AD46" s="175"/>
      <c r="AF46" s="183"/>
      <c r="AH46" s="178"/>
      <c r="AI46" s="178"/>
      <c r="AJ46" s="178"/>
      <c r="AK46" s="178"/>
      <c r="AL46" s="175"/>
      <c r="AN46" s="192"/>
      <c r="AP46" s="178"/>
      <c r="AQ46" s="178"/>
      <c r="AR46" s="178"/>
      <c r="AS46" s="178"/>
      <c r="AT46" s="175"/>
      <c r="AU46" s="175"/>
      <c r="AV46" s="183"/>
      <c r="AW46" s="175"/>
      <c r="AX46" s="176"/>
      <c r="AY46" s="176"/>
      <c r="AZ46" s="176"/>
      <c r="BA46" s="176"/>
      <c r="BB46" s="175"/>
      <c r="BC46" s="175"/>
      <c r="BD46" s="12"/>
      <c r="BE46" s="175"/>
      <c r="BF46" s="12"/>
      <c r="BG46" s="12"/>
      <c r="BH46" s="12"/>
      <c r="BI46" s="183"/>
      <c r="BJ46" s="12"/>
      <c r="BK46" s="176"/>
      <c r="BL46" s="176"/>
      <c r="BM46" s="176"/>
      <c r="BN46" s="176"/>
      <c r="BO46" s="175"/>
      <c r="BP46" s="12"/>
      <c r="BQ46" s="183"/>
      <c r="BR46" s="12"/>
      <c r="BS46" s="176"/>
      <c r="BT46" s="176"/>
      <c r="BU46" s="176"/>
      <c r="BV46" s="176"/>
      <c r="BW46" s="175"/>
      <c r="BY46" s="183"/>
      <c r="BZ46" s="12"/>
      <c r="CA46" s="176"/>
      <c r="CB46" s="176"/>
      <c r="CC46" s="176"/>
      <c r="CD46" s="176"/>
      <c r="CE46" s="175"/>
      <c r="CG46" s="192"/>
      <c r="CI46" s="178"/>
      <c r="CJ46" s="178"/>
      <c r="CK46" s="178"/>
      <c r="CL46" s="178"/>
      <c r="CM46" s="175"/>
      <c r="CO46" s="192"/>
      <c r="CQ46" s="178"/>
      <c r="CR46" s="178"/>
      <c r="CS46" s="178"/>
      <c r="CT46" s="178"/>
      <c r="CU46" s="175"/>
    </row>
    <row r="47" spans="1:99" ht="20.100000000000001" hidden="1" customHeight="1">
      <c r="A47" s="192"/>
      <c r="B47" s="6"/>
      <c r="C47" s="4"/>
      <c r="F47" s="176"/>
      <c r="G47" s="176"/>
      <c r="H47" s="176"/>
      <c r="I47" s="176"/>
      <c r="J47" s="175"/>
      <c r="K47" s="175"/>
      <c r="L47" s="14"/>
      <c r="M47" s="175"/>
      <c r="N47" s="175"/>
      <c r="O47" s="175"/>
      <c r="P47" s="175"/>
      <c r="Q47" s="175"/>
      <c r="R47" s="192"/>
      <c r="T47" s="82"/>
      <c r="U47" s="82"/>
      <c r="V47" s="175"/>
      <c r="W47" s="175"/>
      <c r="X47" s="183"/>
      <c r="Y47" s="175"/>
      <c r="Z47" s="175" t="s">
        <v>141</v>
      </c>
      <c r="AA47" s="189" t="str">
        <f>IF(T41="","",IF(AND(39&lt;T41+1,T41&lt;65),$V$13,""))</f>
        <v/>
      </c>
      <c r="AB47" s="189"/>
      <c r="AC47" s="189"/>
      <c r="AD47" s="175" t="s">
        <v>134</v>
      </c>
      <c r="AF47" s="183"/>
      <c r="AH47" s="188">
        <f>IF(AA47="",0,MAX(ROUNDDOWN((F41-$AP$9)*AA47/100,-2),0,0))</f>
        <v>0</v>
      </c>
      <c r="AI47" s="188"/>
      <c r="AJ47" s="188"/>
      <c r="AK47" s="188"/>
      <c r="AL47" s="175" t="s">
        <v>4</v>
      </c>
      <c r="AN47" s="192"/>
      <c r="AP47" s="188">
        <f>IF(T41="",0,IF($AZ$13&lt;=AH47,$AZ$13-CI47,IF(AH47&lt;$AZ$13,MIN(AH47,$AZ$13-CI47),0)))</f>
        <v>0</v>
      </c>
      <c r="AQ47" s="188"/>
      <c r="AR47" s="188"/>
      <c r="AS47" s="188"/>
      <c r="AT47" s="175" t="s">
        <v>4</v>
      </c>
      <c r="AU47" s="175"/>
      <c r="AV47" s="183"/>
      <c r="AW47" s="175"/>
      <c r="AX47" s="184">
        <f>IF(T41="",0,IF(AND(39&lt;T41+1,T41&lt;65),13600,0))</f>
        <v>0</v>
      </c>
      <c r="AY47" s="184"/>
      <c r="AZ47" s="184"/>
      <c r="BA47" s="184"/>
      <c r="BB47" s="175" t="s">
        <v>4</v>
      </c>
      <c r="BC47" s="175"/>
      <c r="BD47" s="12"/>
      <c r="BE47" s="175"/>
      <c r="BF47" s="12"/>
      <c r="BG47" s="12"/>
      <c r="BH47" s="12"/>
      <c r="BI47" s="183"/>
      <c r="BJ47" s="12"/>
      <c r="BK47" s="184">
        <f>IF(T41="","",IF(T41&lt;6,ROUNDDOWN(AX47*(1-$BF$23)*0.5,-2),IF(AND(6&lt;=T41+1,T41+1&lt;=18),0,0)))</f>
        <v>0</v>
      </c>
      <c r="BL47" s="184"/>
      <c r="BM47" s="184"/>
      <c r="BN47" s="184"/>
      <c r="BO47" s="175" t="s">
        <v>4</v>
      </c>
      <c r="BP47" s="12"/>
      <c r="BQ47" s="183"/>
      <c r="BR47" s="12"/>
      <c r="BS47" s="184">
        <f>IF(T41="",0,IF(T41&lt;6,0,IF(AND(5&lt;T41+1,T41+1&lt;=18),ROUNDDOWN(AX47*(1-$BF$23)*0.8,-2),0)))</f>
        <v>0</v>
      </c>
      <c r="BT47" s="184"/>
      <c r="BU47" s="184"/>
      <c r="BV47" s="184"/>
      <c r="BW47" s="175" t="s">
        <v>4</v>
      </c>
      <c r="BY47" s="183"/>
      <c r="BZ47" s="12"/>
      <c r="CA47" s="184">
        <f>IF(BS47=0,0,AX47-BS47)</f>
        <v>0</v>
      </c>
      <c r="CB47" s="184"/>
      <c r="CC47" s="184"/>
      <c r="CD47" s="184"/>
      <c r="CE47" s="175" t="s">
        <v>4</v>
      </c>
      <c r="CG47" s="192"/>
      <c r="CI47" s="188">
        <f>IF(T41="",0,IF(T41&lt;6,BK47,IF(AND(6&lt;=T41+1,T41+1&lt;=18),BS47,ROUNDDOWN(AX47*(1-$BF$23),-2))))</f>
        <v>0</v>
      </c>
      <c r="CJ47" s="188"/>
      <c r="CK47" s="188"/>
      <c r="CL47" s="188"/>
      <c r="CM47" s="175" t="s">
        <v>4</v>
      </c>
      <c r="CO47" s="192"/>
      <c r="CQ47" s="188">
        <f>IF(CI47="","",AP47+CI47)</f>
        <v>0</v>
      </c>
      <c r="CR47" s="188"/>
      <c r="CS47" s="188"/>
      <c r="CT47" s="188"/>
      <c r="CU47" s="175" t="s">
        <v>4</v>
      </c>
    </row>
    <row r="48" spans="1:99" ht="6" customHeight="1">
      <c r="A48" s="192"/>
      <c r="B48" s="6"/>
      <c r="C48" s="8"/>
      <c r="D48" s="8"/>
      <c r="E48" s="8"/>
      <c r="F48" s="8"/>
      <c r="G48" s="8"/>
      <c r="H48" s="8"/>
      <c r="I48" s="8"/>
      <c r="J48" s="8"/>
      <c r="K48" s="9"/>
      <c r="L48" s="9"/>
      <c r="M48" s="9"/>
      <c r="N48" s="9"/>
      <c r="O48" s="9"/>
      <c r="P48" s="9"/>
      <c r="Q48" s="9"/>
      <c r="R48" s="192"/>
      <c r="T48" s="8"/>
      <c r="U48" s="8"/>
      <c r="V48" s="8"/>
      <c r="X48" s="183"/>
      <c r="Z48" s="8"/>
      <c r="AA48" s="8"/>
      <c r="AB48" s="8"/>
      <c r="AC48" s="8"/>
      <c r="AD48" s="8"/>
      <c r="AF48" s="183"/>
      <c r="AH48" s="8"/>
      <c r="AI48" s="8"/>
      <c r="AJ48" s="8"/>
      <c r="AK48" s="8"/>
      <c r="AL48" s="8"/>
      <c r="AN48" s="192"/>
      <c r="AP48" s="11"/>
      <c r="AQ48" s="11"/>
      <c r="AR48" s="11"/>
      <c r="AS48" s="11"/>
      <c r="AT48" s="8"/>
      <c r="AV48" s="183"/>
      <c r="AX48" s="11"/>
      <c r="AY48" s="11"/>
      <c r="AZ48" s="11"/>
      <c r="BA48" s="11"/>
      <c r="BB48" s="8"/>
      <c r="BD48" s="12"/>
      <c r="BF48" s="12"/>
      <c r="BG48" s="12"/>
      <c r="BH48" s="12"/>
      <c r="BI48" s="183"/>
      <c r="BJ48" s="12"/>
      <c r="BK48" s="11"/>
      <c r="BL48" s="11"/>
      <c r="BM48" s="11"/>
      <c r="BN48" s="11"/>
      <c r="BO48" s="8"/>
      <c r="BP48" s="12"/>
      <c r="BQ48" s="183"/>
      <c r="BR48" s="12"/>
      <c r="BS48" s="11"/>
      <c r="BT48" s="11"/>
      <c r="BU48" s="11"/>
      <c r="BV48" s="11"/>
      <c r="BW48" s="8"/>
      <c r="BY48" s="183"/>
      <c r="BZ48" s="12"/>
      <c r="CA48" s="11"/>
      <c r="CB48" s="11"/>
      <c r="CC48" s="11"/>
      <c r="CD48" s="11"/>
      <c r="CE48" s="8"/>
      <c r="CG48" s="192"/>
      <c r="CI48" s="11"/>
      <c r="CJ48" s="11"/>
      <c r="CK48" s="11"/>
      <c r="CL48" s="11"/>
      <c r="CM48" s="8"/>
      <c r="CO48" s="192"/>
      <c r="CQ48" s="11"/>
      <c r="CR48" s="11"/>
      <c r="CS48" s="11"/>
      <c r="CT48" s="11"/>
      <c r="CU48" s="8"/>
    </row>
    <row r="49" spans="1:99" ht="6" customHeight="1">
      <c r="A49" s="192"/>
      <c r="B49" s="6"/>
      <c r="C49" s="10"/>
      <c r="D49" s="10"/>
      <c r="E49" s="10"/>
      <c r="F49" s="10"/>
      <c r="G49" s="10"/>
      <c r="H49" s="10"/>
      <c r="I49" s="10"/>
      <c r="J49" s="10"/>
      <c r="K49" s="9"/>
      <c r="L49" s="9"/>
      <c r="M49" s="9"/>
      <c r="N49" s="9"/>
      <c r="O49" s="9"/>
      <c r="P49" s="9"/>
      <c r="Q49" s="9"/>
      <c r="R49" s="192"/>
      <c r="T49" s="10"/>
      <c r="U49" s="10"/>
      <c r="V49" s="10"/>
      <c r="X49" s="183"/>
      <c r="Z49" s="10"/>
      <c r="AA49" s="10"/>
      <c r="AB49" s="10"/>
      <c r="AC49" s="10"/>
      <c r="AD49" s="10"/>
      <c r="AF49" s="183"/>
      <c r="AH49" s="10"/>
      <c r="AI49" s="10"/>
      <c r="AJ49" s="10"/>
      <c r="AK49" s="10"/>
      <c r="AL49" s="10"/>
      <c r="AN49" s="192"/>
      <c r="AP49" s="13"/>
      <c r="AQ49" s="13"/>
      <c r="AR49" s="13"/>
      <c r="AS49" s="13"/>
      <c r="AT49" s="10"/>
      <c r="AV49" s="183"/>
      <c r="AX49" s="13"/>
      <c r="AY49" s="13"/>
      <c r="AZ49" s="13"/>
      <c r="BA49" s="13"/>
      <c r="BB49" s="10"/>
      <c r="BD49" s="12"/>
      <c r="BF49" s="12"/>
      <c r="BG49" s="12"/>
      <c r="BH49" s="12"/>
      <c r="BI49" s="183"/>
      <c r="BJ49" s="12"/>
      <c r="BK49" s="13"/>
      <c r="BL49" s="13"/>
      <c r="BM49" s="13"/>
      <c r="BN49" s="13"/>
      <c r="BO49" s="10"/>
      <c r="BP49" s="12"/>
      <c r="BQ49" s="183"/>
      <c r="BR49" s="12"/>
      <c r="BS49" s="13"/>
      <c r="BT49" s="13"/>
      <c r="BU49" s="13"/>
      <c r="BV49" s="13"/>
      <c r="BW49" s="10"/>
      <c r="BY49" s="183"/>
      <c r="BZ49" s="12"/>
      <c r="CA49" s="13"/>
      <c r="CB49" s="13"/>
      <c r="CC49" s="13"/>
      <c r="CD49" s="13"/>
      <c r="CE49" s="10"/>
      <c r="CG49" s="192"/>
      <c r="CI49" s="13"/>
      <c r="CJ49" s="13"/>
      <c r="CK49" s="13"/>
      <c r="CL49" s="13"/>
      <c r="CM49" s="10"/>
      <c r="CO49" s="192"/>
      <c r="CQ49" s="13"/>
      <c r="CR49" s="13"/>
      <c r="CS49" s="13"/>
      <c r="CT49" s="13"/>
      <c r="CU49" s="10"/>
    </row>
    <row r="50" spans="1:99" ht="20.100000000000001" customHeight="1">
      <c r="A50" s="192"/>
      <c r="B50" s="6"/>
      <c r="C50" s="4" t="s">
        <v>16</v>
      </c>
      <c r="F50" s="201">
        <v>0</v>
      </c>
      <c r="G50" s="201"/>
      <c r="H50" s="201"/>
      <c r="I50" s="201"/>
      <c r="J50" s="175" t="s">
        <v>4</v>
      </c>
      <c r="K50" s="175"/>
      <c r="L50" s="175"/>
      <c r="M50" s="175"/>
      <c r="N50" s="175"/>
      <c r="O50" s="175"/>
      <c r="P50" s="175"/>
      <c r="Q50" s="175"/>
      <c r="R50" s="192"/>
      <c r="T50" s="202">
        <v>5</v>
      </c>
      <c r="U50" s="202"/>
      <c r="V50" s="175" t="s">
        <v>7</v>
      </c>
      <c r="W50" s="175"/>
      <c r="X50" s="183"/>
      <c r="Y50" s="175"/>
      <c r="Z50" s="175" t="s">
        <v>138</v>
      </c>
      <c r="AA50" s="189">
        <f>IF(T50="","",IF(AND(39&lt;T50+1,T50&lt;65),SUM($V$9:$Y$13),SUM($V$9:$Y$11)))</f>
        <v>9.57</v>
      </c>
      <c r="AB50" s="189"/>
      <c r="AC50" s="189"/>
      <c r="AD50" s="175" t="s">
        <v>134</v>
      </c>
      <c r="AF50" s="183"/>
      <c r="AH50" s="188">
        <f>IF(AA50="",0,MAX(ROUNDDOWN((F50-$AP$9)*AA50/100,-2),0,0))</f>
        <v>0</v>
      </c>
      <c r="AI50" s="188"/>
      <c r="AJ50" s="188"/>
      <c r="AK50" s="188"/>
      <c r="AL50" s="175" t="s">
        <v>4</v>
      </c>
      <c r="AN50" s="192"/>
      <c r="AP50" s="191">
        <f>IF(T50="",0,MAX(SUM(AP52:AS56,0)))</f>
        <v>0</v>
      </c>
      <c r="AQ50" s="191"/>
      <c r="AR50" s="191"/>
      <c r="AS50" s="191"/>
      <c r="AT50" s="175" t="s">
        <v>4</v>
      </c>
      <c r="AU50" s="175"/>
      <c r="AV50" s="183"/>
      <c r="AW50" s="175"/>
      <c r="AX50" s="184">
        <f>IF(T50="","",IF(AND(39&lt;T50+1,T50&lt;65),$BM$9+$BM$11+$BM$13,$BM$9+$BM$11))</f>
        <v>51500</v>
      </c>
      <c r="AY50" s="184"/>
      <c r="AZ50" s="184"/>
      <c r="BA50" s="184"/>
      <c r="BB50" s="175" t="s">
        <v>4</v>
      </c>
      <c r="BC50" s="175"/>
      <c r="BD50" s="12"/>
      <c r="BE50" s="175"/>
      <c r="BF50" s="12"/>
      <c r="BG50" s="12"/>
      <c r="BH50" s="12"/>
      <c r="BI50" s="183"/>
      <c r="BJ50" s="12"/>
      <c r="BK50" s="184">
        <f>IF(T50="","",IF(T50&lt;6,ROUNDDOWN(AX50*(1-$BF$23)*0.5,-2),IF(AND(6&lt;=T50+1,T50+1&lt;=18),0,0)))</f>
        <v>25700</v>
      </c>
      <c r="BL50" s="184"/>
      <c r="BM50" s="184"/>
      <c r="BN50" s="184"/>
      <c r="BO50" s="175" t="s">
        <v>4</v>
      </c>
      <c r="BP50" s="12"/>
      <c r="BQ50" s="183"/>
      <c r="BR50" s="12"/>
      <c r="BS50" s="184">
        <f>IF(T50="",0,IF(T50&lt;6,0,IF(AND(5&lt;T50+1,T50+1&lt;=18),ROUNDDOWN(AX50*(1-$BF$23)*0.8,-2),0)))</f>
        <v>0</v>
      </c>
      <c r="BT50" s="184"/>
      <c r="BU50" s="184"/>
      <c r="BV50" s="184"/>
      <c r="BW50" s="175" t="s">
        <v>4</v>
      </c>
      <c r="BY50" s="183"/>
      <c r="BZ50" s="12"/>
      <c r="CA50" s="184">
        <f>IF(BS50=0,0,AX50-BS50)</f>
        <v>0</v>
      </c>
      <c r="CB50" s="184"/>
      <c r="CC50" s="184"/>
      <c r="CD50" s="184"/>
      <c r="CE50" s="175" t="s">
        <v>4</v>
      </c>
      <c r="CG50" s="192"/>
      <c r="CI50" s="191">
        <f>IF(T50="",0,IF(T50&lt;6,BK50,IF(AND(6&lt;=T50+1,T50+1&lt;=18),BS50,ROUNDDOWN(AX50*(1-$BF$23),-2))))</f>
        <v>25700</v>
      </c>
      <c r="CJ50" s="191"/>
      <c r="CK50" s="191"/>
      <c r="CL50" s="191"/>
      <c r="CM50" s="175" t="s">
        <v>4</v>
      </c>
      <c r="CO50" s="192"/>
      <c r="CQ50" s="191">
        <f>IF(CI50="","",AP50+CI50)</f>
        <v>25700</v>
      </c>
      <c r="CR50" s="191"/>
      <c r="CS50" s="191"/>
      <c r="CT50" s="191"/>
      <c r="CU50" s="175" t="s">
        <v>4</v>
      </c>
    </row>
    <row r="51" spans="1:99" ht="6" hidden="1" customHeight="1">
      <c r="A51" s="192"/>
      <c r="B51" s="6"/>
      <c r="C51" s="4"/>
      <c r="F51" s="176"/>
      <c r="G51" s="176"/>
      <c r="H51" s="176"/>
      <c r="I51" s="176"/>
      <c r="J51" s="175"/>
      <c r="K51" s="175"/>
      <c r="L51" s="175"/>
      <c r="M51" s="175"/>
      <c r="N51" s="175"/>
      <c r="O51" s="175"/>
      <c r="P51" s="175"/>
      <c r="Q51" s="175"/>
      <c r="R51" s="192"/>
      <c r="T51" s="82"/>
      <c r="U51" s="82"/>
      <c r="V51" s="175"/>
      <c r="W51" s="175"/>
      <c r="X51" s="183"/>
      <c r="Y51" s="175"/>
      <c r="Z51" s="175"/>
      <c r="AA51" s="177"/>
      <c r="AB51" s="177"/>
      <c r="AC51" s="177"/>
      <c r="AD51" s="175"/>
      <c r="AF51" s="183"/>
      <c r="AH51" s="178"/>
      <c r="AI51" s="178"/>
      <c r="AJ51" s="178"/>
      <c r="AK51" s="178"/>
      <c r="AL51" s="175"/>
      <c r="AN51" s="192"/>
      <c r="AP51" s="178"/>
      <c r="AQ51" s="178"/>
      <c r="AR51" s="178"/>
      <c r="AS51" s="178"/>
      <c r="AT51" s="175"/>
      <c r="AU51" s="175"/>
      <c r="AV51" s="183"/>
      <c r="AW51" s="175"/>
      <c r="AX51" s="176"/>
      <c r="AY51" s="176"/>
      <c r="AZ51" s="176"/>
      <c r="BA51" s="176"/>
      <c r="BB51" s="175"/>
      <c r="BC51" s="175"/>
      <c r="BD51" s="12"/>
      <c r="BE51" s="175"/>
      <c r="BF51" s="12"/>
      <c r="BG51" s="12"/>
      <c r="BH51" s="12"/>
      <c r="BI51" s="183"/>
      <c r="BJ51" s="12"/>
      <c r="BK51" s="176"/>
      <c r="BL51" s="176"/>
      <c r="BM51" s="176"/>
      <c r="BN51" s="176"/>
      <c r="BO51" s="175"/>
      <c r="BP51" s="12"/>
      <c r="BQ51" s="183"/>
      <c r="BR51" s="12"/>
      <c r="BS51" s="176"/>
      <c r="BT51" s="176"/>
      <c r="BU51" s="176"/>
      <c r="BV51" s="176"/>
      <c r="BW51" s="175"/>
      <c r="BY51" s="183"/>
      <c r="BZ51" s="12"/>
      <c r="CA51" s="176"/>
      <c r="CB51" s="176"/>
      <c r="CC51" s="176"/>
      <c r="CD51" s="176"/>
      <c r="CE51" s="175"/>
      <c r="CG51" s="192"/>
      <c r="CI51" s="178"/>
      <c r="CJ51" s="178"/>
      <c r="CK51" s="178"/>
      <c r="CL51" s="178"/>
      <c r="CM51" s="175"/>
      <c r="CO51" s="192"/>
      <c r="CQ51" s="178"/>
      <c r="CR51" s="178"/>
      <c r="CS51" s="178"/>
      <c r="CT51" s="178"/>
      <c r="CU51" s="175"/>
    </row>
    <row r="52" spans="1:99" ht="20.100000000000001" hidden="1" customHeight="1">
      <c r="A52" s="192"/>
      <c r="B52" s="6"/>
      <c r="C52" s="4"/>
      <c r="F52" s="176"/>
      <c r="G52" s="176"/>
      <c r="H52" s="176"/>
      <c r="I52" s="176"/>
      <c r="J52" s="175"/>
      <c r="K52" s="175"/>
      <c r="L52" s="175"/>
      <c r="M52" s="175"/>
      <c r="N52" s="175"/>
      <c r="O52" s="175"/>
      <c r="P52" s="175"/>
      <c r="Q52" s="175"/>
      <c r="R52" s="192"/>
      <c r="T52" s="82"/>
      <c r="U52" s="82"/>
      <c r="V52" s="175"/>
      <c r="W52" s="175"/>
      <c r="X52" s="183"/>
      <c r="Y52" s="175"/>
      <c r="Z52" s="175" t="s">
        <v>139</v>
      </c>
      <c r="AA52" s="189">
        <f>IF(T50="","",$V$9)</f>
        <v>6.72</v>
      </c>
      <c r="AB52" s="189"/>
      <c r="AC52" s="189"/>
      <c r="AD52" s="175" t="s">
        <v>134</v>
      </c>
      <c r="AF52" s="183"/>
      <c r="AH52" s="188">
        <f>IF(AA52="",0,MAX(ROUNDDOWN((F50-$AP$9)*AA52/100,-2),0,0))</f>
        <v>0</v>
      </c>
      <c r="AI52" s="188"/>
      <c r="AJ52" s="188"/>
      <c r="AK52" s="188"/>
      <c r="AL52" s="175" t="s">
        <v>4</v>
      </c>
      <c r="AN52" s="192"/>
      <c r="AP52" s="188">
        <f>IF(T50="",0,IF($AZ$9&lt;=AH52,$AZ$9-CI52,IF(AH52&lt;$AZ$9,MIN(AH52,$AZ$9-CI52),0)))</f>
        <v>0</v>
      </c>
      <c r="AQ52" s="188"/>
      <c r="AR52" s="188"/>
      <c r="AS52" s="188"/>
      <c r="AT52" s="175" t="s">
        <v>4</v>
      </c>
      <c r="AU52" s="175"/>
      <c r="AV52" s="183"/>
      <c r="AW52" s="175"/>
      <c r="AX52" s="184">
        <f>$BM$9</f>
        <v>35800</v>
      </c>
      <c r="AY52" s="184"/>
      <c r="AZ52" s="184"/>
      <c r="BA52" s="184"/>
      <c r="BB52" s="175" t="s">
        <v>4</v>
      </c>
      <c r="BC52" s="175"/>
      <c r="BD52" s="12"/>
      <c r="BE52" s="175"/>
      <c r="BF52" s="12"/>
      <c r="BG52" s="12"/>
      <c r="BH52" s="12"/>
      <c r="BI52" s="183"/>
      <c r="BJ52" s="12"/>
      <c r="BK52" s="184">
        <f>IF(T50="","",IF(T50&lt;6,ROUNDDOWN(AX52*(1-$BF$23)*0.5,-2),IF(AND(6&lt;=T50+1,T50+1&lt;=18),0,0)))</f>
        <v>17900</v>
      </c>
      <c r="BL52" s="184"/>
      <c r="BM52" s="184"/>
      <c r="BN52" s="184"/>
      <c r="BO52" s="175" t="s">
        <v>4</v>
      </c>
      <c r="BP52" s="12"/>
      <c r="BQ52" s="183"/>
      <c r="BR52" s="12"/>
      <c r="BS52" s="184">
        <f>IF(T50="",0,IF(T50&lt;6,0,IF(AND(5&lt;T50+1,T50+1&lt;=18),ROUNDDOWN(AX52*(1-$BF$23)*0.8,-2),0)))</f>
        <v>0</v>
      </c>
      <c r="BT52" s="184"/>
      <c r="BU52" s="184"/>
      <c r="BV52" s="184"/>
      <c r="BW52" s="175" t="s">
        <v>4</v>
      </c>
      <c r="BY52" s="183"/>
      <c r="BZ52" s="12"/>
      <c r="CA52" s="184">
        <f>IF(BS52=0,0,AX52-BS52)</f>
        <v>0</v>
      </c>
      <c r="CB52" s="184"/>
      <c r="CC52" s="184"/>
      <c r="CD52" s="184"/>
      <c r="CE52" s="175" t="s">
        <v>4</v>
      </c>
      <c r="CG52" s="192"/>
      <c r="CI52" s="188">
        <f>IF(T50="",0,IF(T50&lt;6,BK52,IF(AND(6&lt;=T50+1,T50+1&lt;=18),BS52,ROUNDDOWN(AX52*(1-$BF$23),-2))))</f>
        <v>17900</v>
      </c>
      <c r="CJ52" s="188"/>
      <c r="CK52" s="188"/>
      <c r="CL52" s="188"/>
      <c r="CM52" s="175" t="s">
        <v>4</v>
      </c>
      <c r="CO52" s="192"/>
      <c r="CQ52" s="188">
        <f>IF(CI52="","",AP52+CI52)</f>
        <v>17900</v>
      </c>
      <c r="CR52" s="188"/>
      <c r="CS52" s="188"/>
      <c r="CT52" s="188"/>
      <c r="CU52" s="175" t="s">
        <v>4</v>
      </c>
    </row>
    <row r="53" spans="1:99" ht="6" hidden="1" customHeight="1">
      <c r="A53" s="192"/>
      <c r="B53" s="6"/>
      <c r="C53" s="4"/>
      <c r="F53" s="176"/>
      <c r="G53" s="176"/>
      <c r="H53" s="176"/>
      <c r="I53" s="176"/>
      <c r="J53" s="175"/>
      <c r="K53" s="175"/>
      <c r="L53" s="175"/>
      <c r="M53" s="175"/>
      <c r="N53" s="175"/>
      <c r="O53" s="175"/>
      <c r="P53" s="175"/>
      <c r="Q53" s="175"/>
      <c r="R53" s="192"/>
      <c r="T53" s="82"/>
      <c r="U53" s="82"/>
      <c r="V53" s="175"/>
      <c r="W53" s="175"/>
      <c r="X53" s="183"/>
      <c r="Y53" s="175"/>
      <c r="Z53" s="175"/>
      <c r="AA53" s="177"/>
      <c r="AB53" s="177"/>
      <c r="AC53" s="177"/>
      <c r="AD53" s="175"/>
      <c r="AF53" s="183"/>
      <c r="AH53" s="178"/>
      <c r="AI53" s="178"/>
      <c r="AJ53" s="178"/>
      <c r="AK53" s="178"/>
      <c r="AL53" s="175"/>
      <c r="AN53" s="192"/>
      <c r="AP53" s="178"/>
      <c r="AQ53" s="178"/>
      <c r="AR53" s="178"/>
      <c r="AS53" s="178"/>
      <c r="AT53" s="175"/>
      <c r="AU53" s="175"/>
      <c r="AV53" s="183"/>
      <c r="AW53" s="175"/>
      <c r="AX53" s="176"/>
      <c r="AY53" s="176"/>
      <c r="AZ53" s="176"/>
      <c r="BA53" s="176"/>
      <c r="BB53" s="175"/>
      <c r="BC53" s="175"/>
      <c r="BD53" s="12"/>
      <c r="BE53" s="175"/>
      <c r="BF53" s="12"/>
      <c r="BG53" s="12"/>
      <c r="BH53" s="12"/>
      <c r="BI53" s="183"/>
      <c r="BJ53" s="12"/>
      <c r="BK53" s="176"/>
      <c r="BL53" s="176"/>
      <c r="BM53" s="176"/>
      <c r="BN53" s="176"/>
      <c r="BO53" s="175"/>
      <c r="BP53" s="12"/>
      <c r="BQ53" s="183"/>
      <c r="BR53" s="12"/>
      <c r="BS53" s="176"/>
      <c r="BT53" s="176"/>
      <c r="BU53" s="176"/>
      <c r="BV53" s="176"/>
      <c r="BW53" s="175"/>
      <c r="BY53" s="183"/>
      <c r="BZ53" s="12"/>
      <c r="CA53" s="176"/>
      <c r="CB53" s="176"/>
      <c r="CC53" s="176"/>
      <c r="CD53" s="176"/>
      <c r="CE53" s="175"/>
      <c r="CG53" s="192"/>
      <c r="CI53" s="178"/>
      <c r="CJ53" s="178"/>
      <c r="CK53" s="178"/>
      <c r="CL53" s="178"/>
      <c r="CM53" s="175"/>
      <c r="CO53" s="192"/>
      <c r="CQ53" s="178"/>
      <c r="CR53" s="178"/>
      <c r="CS53" s="178"/>
      <c r="CT53" s="178"/>
      <c r="CU53" s="175"/>
    </row>
    <row r="54" spans="1:99" ht="20.100000000000001" hidden="1" customHeight="1">
      <c r="A54" s="192"/>
      <c r="B54" s="6"/>
      <c r="C54" s="4"/>
      <c r="F54" s="176"/>
      <c r="G54" s="176"/>
      <c r="H54" s="176"/>
      <c r="I54" s="176"/>
      <c r="J54" s="175"/>
      <c r="K54" s="175"/>
      <c r="L54" s="175"/>
      <c r="M54" s="175"/>
      <c r="N54" s="175"/>
      <c r="O54" s="175"/>
      <c r="P54" s="175"/>
      <c r="Q54" s="175"/>
      <c r="R54" s="192"/>
      <c r="T54" s="82"/>
      <c r="U54" s="82"/>
      <c r="V54" s="175"/>
      <c r="W54" s="175"/>
      <c r="X54" s="183"/>
      <c r="Y54" s="175"/>
      <c r="Z54" s="175" t="s">
        <v>140</v>
      </c>
      <c r="AA54" s="189">
        <f>IF(T50="","",$V$11)</f>
        <v>2.85</v>
      </c>
      <c r="AB54" s="189"/>
      <c r="AC54" s="189"/>
      <c r="AD54" s="175" t="s">
        <v>134</v>
      </c>
      <c r="AF54" s="183"/>
      <c r="AH54" s="188">
        <f>IF(AA54="",0,MAX(ROUNDDOWN((F50-$AP$9)*AA54/100,-2),0,0))</f>
        <v>0</v>
      </c>
      <c r="AI54" s="188"/>
      <c r="AJ54" s="188"/>
      <c r="AK54" s="188"/>
      <c r="AL54" s="175" t="s">
        <v>4</v>
      </c>
      <c r="AN54" s="192"/>
      <c r="AP54" s="188">
        <f>IF(T50="",0,IF($AZ$11&lt;=AH54,$AZ$11-CI54,IF(AH54&lt;$AZ$11,MIN(AH54,$AZ$11-CI54),0)))</f>
        <v>0</v>
      </c>
      <c r="AQ54" s="188"/>
      <c r="AR54" s="188"/>
      <c r="AS54" s="188"/>
      <c r="AT54" s="175" t="s">
        <v>4</v>
      </c>
      <c r="AU54" s="175"/>
      <c r="AV54" s="183"/>
      <c r="AW54" s="175"/>
      <c r="AX54" s="184">
        <f>$BM$11</f>
        <v>15700</v>
      </c>
      <c r="AY54" s="184"/>
      <c r="AZ54" s="184"/>
      <c r="BA54" s="184"/>
      <c r="BB54" s="175" t="s">
        <v>4</v>
      </c>
      <c r="BC54" s="175"/>
      <c r="BD54" s="12"/>
      <c r="BE54" s="175"/>
      <c r="BF54" s="12"/>
      <c r="BG54" s="12"/>
      <c r="BH54" s="12"/>
      <c r="BI54" s="183"/>
      <c r="BJ54" s="12"/>
      <c r="BK54" s="184">
        <f>IF(T50="","",IF(T50&lt;6,ROUNDDOWN(AX54*(1-$BF$23)*0.5,-2),IF(AND(6&lt;=T50+1,T50+1&lt;=18),0,0)))</f>
        <v>7800</v>
      </c>
      <c r="BL54" s="184"/>
      <c r="BM54" s="184"/>
      <c r="BN54" s="184"/>
      <c r="BO54" s="175" t="s">
        <v>4</v>
      </c>
      <c r="BP54" s="12"/>
      <c r="BQ54" s="183"/>
      <c r="BR54" s="12"/>
      <c r="BS54" s="184">
        <f>IF(T50="",0,IF(T50&lt;6,0,IF(AND(5&lt;T50+1,T50+1&lt;=18),ROUNDDOWN(AX54*(1-$BF$23)*0.8,-2),0)))</f>
        <v>0</v>
      </c>
      <c r="BT54" s="184"/>
      <c r="BU54" s="184"/>
      <c r="BV54" s="184"/>
      <c r="BW54" s="175" t="s">
        <v>4</v>
      </c>
      <c r="BY54" s="183"/>
      <c r="BZ54" s="12"/>
      <c r="CA54" s="184">
        <f>IF(BS54=0,0,AX54-BS54)</f>
        <v>0</v>
      </c>
      <c r="CB54" s="184"/>
      <c r="CC54" s="184"/>
      <c r="CD54" s="184"/>
      <c r="CE54" s="175" t="s">
        <v>4</v>
      </c>
      <c r="CG54" s="192"/>
      <c r="CI54" s="188">
        <f>IF(T50="",0,IF(T50&lt;6,BK54,IF(AND(6&lt;=T50+1,T50+1&lt;=18),BS54,ROUNDDOWN(AX54*(1-$BF$23),-2))))</f>
        <v>7800</v>
      </c>
      <c r="CJ54" s="188"/>
      <c r="CK54" s="188"/>
      <c r="CL54" s="188"/>
      <c r="CM54" s="175" t="s">
        <v>4</v>
      </c>
      <c r="CO54" s="192"/>
      <c r="CQ54" s="188">
        <f>IF(CI54="","",AP54+CI54)</f>
        <v>7800</v>
      </c>
      <c r="CR54" s="188"/>
      <c r="CS54" s="188"/>
      <c r="CT54" s="188"/>
      <c r="CU54" s="175" t="s">
        <v>4</v>
      </c>
    </row>
    <row r="55" spans="1:99" ht="6" hidden="1" customHeight="1">
      <c r="A55" s="192"/>
      <c r="B55" s="6"/>
      <c r="C55" s="4"/>
      <c r="F55" s="176"/>
      <c r="G55" s="176"/>
      <c r="H55" s="176"/>
      <c r="I55" s="176"/>
      <c r="J55" s="175"/>
      <c r="K55" s="175"/>
      <c r="L55" s="175"/>
      <c r="M55" s="175"/>
      <c r="N55" s="175"/>
      <c r="O55" s="175"/>
      <c r="P55" s="175"/>
      <c r="Q55" s="175"/>
      <c r="R55" s="192"/>
      <c r="T55" s="82"/>
      <c r="U55" s="82"/>
      <c r="V55" s="175"/>
      <c r="W55" s="175"/>
      <c r="X55" s="183"/>
      <c r="Y55" s="175"/>
      <c r="Z55" s="175"/>
      <c r="AA55" s="177"/>
      <c r="AB55" s="177"/>
      <c r="AC55" s="177"/>
      <c r="AD55" s="175"/>
      <c r="AF55" s="183"/>
      <c r="AH55" s="178"/>
      <c r="AI55" s="178"/>
      <c r="AJ55" s="178"/>
      <c r="AK55" s="178"/>
      <c r="AL55" s="175"/>
      <c r="AN55" s="192"/>
      <c r="AP55" s="178"/>
      <c r="AQ55" s="178"/>
      <c r="AR55" s="178"/>
      <c r="AS55" s="178"/>
      <c r="AT55" s="175"/>
      <c r="AU55" s="175"/>
      <c r="AV55" s="183"/>
      <c r="AW55" s="175"/>
      <c r="AX55" s="176"/>
      <c r="AY55" s="176"/>
      <c r="AZ55" s="176"/>
      <c r="BA55" s="176"/>
      <c r="BB55" s="175"/>
      <c r="BC55" s="175"/>
      <c r="BD55" s="12"/>
      <c r="BE55" s="175"/>
      <c r="BF55" s="12"/>
      <c r="BG55" s="12"/>
      <c r="BH55" s="12"/>
      <c r="BI55" s="183"/>
      <c r="BJ55" s="12"/>
      <c r="BK55" s="176"/>
      <c r="BL55" s="176"/>
      <c r="BM55" s="176"/>
      <c r="BN55" s="176"/>
      <c r="BO55" s="175"/>
      <c r="BP55" s="12"/>
      <c r="BQ55" s="183"/>
      <c r="BR55" s="12"/>
      <c r="BS55" s="176"/>
      <c r="BT55" s="176"/>
      <c r="BU55" s="176"/>
      <c r="BV55" s="176"/>
      <c r="BW55" s="175"/>
      <c r="BY55" s="183"/>
      <c r="BZ55" s="12"/>
      <c r="CA55" s="176"/>
      <c r="CB55" s="176"/>
      <c r="CC55" s="176"/>
      <c r="CD55" s="176"/>
      <c r="CE55" s="175"/>
      <c r="CG55" s="192"/>
      <c r="CI55" s="178"/>
      <c r="CJ55" s="178"/>
      <c r="CK55" s="178"/>
      <c r="CL55" s="178"/>
      <c r="CM55" s="175"/>
      <c r="CO55" s="192"/>
      <c r="CQ55" s="178"/>
      <c r="CR55" s="178"/>
      <c r="CS55" s="178"/>
      <c r="CT55" s="178"/>
      <c r="CU55" s="175"/>
    </row>
    <row r="56" spans="1:99" ht="20.100000000000001" hidden="1" customHeight="1">
      <c r="A56" s="192"/>
      <c r="B56" s="6"/>
      <c r="C56" s="4"/>
      <c r="F56" s="176"/>
      <c r="G56" s="176"/>
      <c r="H56" s="176"/>
      <c r="I56" s="176"/>
      <c r="J56" s="175"/>
      <c r="K56" s="175"/>
      <c r="L56" s="175"/>
      <c r="M56" s="175"/>
      <c r="N56" s="175"/>
      <c r="O56" s="175"/>
      <c r="P56" s="175"/>
      <c r="Q56" s="175"/>
      <c r="R56" s="192"/>
      <c r="T56" s="82"/>
      <c r="U56" s="82"/>
      <c r="V56" s="175"/>
      <c r="W56" s="175"/>
      <c r="X56" s="183"/>
      <c r="Y56" s="175"/>
      <c r="Z56" s="175" t="s">
        <v>141</v>
      </c>
      <c r="AA56" s="189" t="str">
        <f>IF(T50="","",IF(AND(39&lt;T50+1,T50&lt;65),$V$13,""))</f>
        <v/>
      </c>
      <c r="AB56" s="189"/>
      <c r="AC56" s="189"/>
      <c r="AD56" s="175" t="s">
        <v>134</v>
      </c>
      <c r="AF56" s="183"/>
      <c r="AH56" s="188">
        <f>IF(AA56="",0,MAX(ROUNDDOWN((F50-$AP$9)*AA56/100,-2),0,0))</f>
        <v>0</v>
      </c>
      <c r="AI56" s="188"/>
      <c r="AJ56" s="188"/>
      <c r="AK56" s="188"/>
      <c r="AL56" s="175" t="s">
        <v>4</v>
      </c>
      <c r="AN56" s="192"/>
      <c r="AP56" s="188">
        <f>IF(T50="",0,IF($AZ$13&lt;=AH56,$AZ$13-CI56,IF(AH56&lt;$AZ$13,MIN(AH56,$AZ$13-CI56),0)))</f>
        <v>0</v>
      </c>
      <c r="AQ56" s="188"/>
      <c r="AR56" s="188"/>
      <c r="AS56" s="188"/>
      <c r="AT56" s="175" t="s">
        <v>4</v>
      </c>
      <c r="AU56" s="175"/>
      <c r="AV56" s="183"/>
      <c r="AW56" s="175"/>
      <c r="AX56" s="184">
        <f>IF(T50="",0,IF(AND(39&lt;T50+1,T50&lt;65),13600,0))</f>
        <v>0</v>
      </c>
      <c r="AY56" s="184"/>
      <c r="AZ56" s="184"/>
      <c r="BA56" s="184"/>
      <c r="BB56" s="175" t="s">
        <v>4</v>
      </c>
      <c r="BC56" s="175"/>
      <c r="BD56" s="12"/>
      <c r="BE56" s="175"/>
      <c r="BF56" s="12"/>
      <c r="BG56" s="12"/>
      <c r="BH56" s="12"/>
      <c r="BI56" s="183"/>
      <c r="BJ56" s="12"/>
      <c r="BK56" s="184">
        <f>IF(T50="","",IF(T50&lt;6,ROUNDDOWN(AX56*(1-$BF$23)*0.5,-2),IF(AND(6&lt;=T50+1,T50+1&lt;=18),0,0)))</f>
        <v>0</v>
      </c>
      <c r="BL56" s="184"/>
      <c r="BM56" s="184"/>
      <c r="BN56" s="184"/>
      <c r="BO56" s="175" t="s">
        <v>4</v>
      </c>
      <c r="BP56" s="12"/>
      <c r="BQ56" s="183"/>
      <c r="BR56" s="12"/>
      <c r="BS56" s="184">
        <f>IF(T50="",0,IF(T50&lt;6,0,IF(AND(5&lt;T50+1,T50+1&lt;=18),ROUNDDOWN(AX56*(1-$BF$23)*0.8,-2),0)))</f>
        <v>0</v>
      </c>
      <c r="BT56" s="184"/>
      <c r="BU56" s="184"/>
      <c r="BV56" s="184"/>
      <c r="BW56" s="175" t="s">
        <v>4</v>
      </c>
      <c r="BY56" s="183"/>
      <c r="BZ56" s="12"/>
      <c r="CA56" s="184">
        <f>IF(BS56=0,0,AX56-BS56)</f>
        <v>0</v>
      </c>
      <c r="CB56" s="184"/>
      <c r="CC56" s="184"/>
      <c r="CD56" s="184"/>
      <c r="CE56" s="175" t="s">
        <v>4</v>
      </c>
      <c r="CG56" s="192"/>
      <c r="CI56" s="188">
        <f>IF(T50="",0,IF(T50&lt;6,BK56,IF(AND(6&lt;=T50+1,T50+1&lt;=18),BS56,ROUNDDOWN(AX56*(1-$BF$23),-2))))</f>
        <v>0</v>
      </c>
      <c r="CJ56" s="188"/>
      <c r="CK56" s="188"/>
      <c r="CL56" s="188"/>
      <c r="CM56" s="175" t="s">
        <v>4</v>
      </c>
      <c r="CO56" s="192"/>
      <c r="CQ56" s="188">
        <f>IF(CI56="","",AP56+CI56)</f>
        <v>0</v>
      </c>
      <c r="CR56" s="188"/>
      <c r="CS56" s="188"/>
      <c r="CT56" s="188"/>
      <c r="CU56" s="175" t="s">
        <v>4</v>
      </c>
    </row>
    <row r="57" spans="1:99" ht="6" customHeight="1">
      <c r="A57" s="192"/>
      <c r="B57" s="6"/>
      <c r="C57" s="8"/>
      <c r="D57" s="8"/>
      <c r="E57" s="8"/>
      <c r="F57" s="8"/>
      <c r="G57" s="8"/>
      <c r="H57" s="8"/>
      <c r="I57" s="8"/>
      <c r="J57" s="8"/>
      <c r="K57" s="9"/>
      <c r="L57" s="9"/>
      <c r="M57" s="9"/>
      <c r="N57" s="9"/>
      <c r="O57" s="9"/>
      <c r="P57" s="9"/>
      <c r="Q57" s="9"/>
      <c r="R57" s="192"/>
      <c r="T57" s="8"/>
      <c r="U57" s="8"/>
      <c r="V57" s="8"/>
      <c r="X57" s="183"/>
      <c r="Z57" s="8"/>
      <c r="AA57" s="8"/>
      <c r="AB57" s="8"/>
      <c r="AC57" s="8"/>
      <c r="AD57" s="8"/>
      <c r="AF57" s="183"/>
      <c r="AH57" s="8"/>
      <c r="AI57" s="8"/>
      <c r="AJ57" s="8"/>
      <c r="AK57" s="8"/>
      <c r="AL57" s="8"/>
      <c r="AN57" s="192"/>
      <c r="AP57" s="11"/>
      <c r="AQ57" s="11"/>
      <c r="AR57" s="11"/>
      <c r="AS57" s="11"/>
      <c r="AT57" s="8"/>
      <c r="AV57" s="183"/>
      <c r="AX57" s="11"/>
      <c r="AY57" s="11"/>
      <c r="AZ57" s="11"/>
      <c r="BA57" s="11"/>
      <c r="BB57" s="8"/>
      <c r="BD57" s="12"/>
      <c r="BF57" s="12"/>
      <c r="BG57" s="12"/>
      <c r="BH57" s="12"/>
      <c r="BI57" s="183"/>
      <c r="BJ57" s="12"/>
      <c r="BK57" s="11"/>
      <c r="BL57" s="11"/>
      <c r="BM57" s="11"/>
      <c r="BN57" s="11"/>
      <c r="BO57" s="8"/>
      <c r="BP57" s="12"/>
      <c r="BQ57" s="183"/>
      <c r="BR57" s="12"/>
      <c r="BS57" s="11"/>
      <c r="BT57" s="11"/>
      <c r="BU57" s="11"/>
      <c r="BV57" s="11"/>
      <c r="BW57" s="8"/>
      <c r="BY57" s="183"/>
      <c r="BZ57" s="12"/>
      <c r="CA57" s="11"/>
      <c r="CB57" s="11"/>
      <c r="CC57" s="11"/>
      <c r="CD57" s="11"/>
      <c r="CE57" s="8"/>
      <c r="CG57" s="192"/>
      <c r="CI57" s="11"/>
      <c r="CJ57" s="11"/>
      <c r="CK57" s="11"/>
      <c r="CL57" s="11"/>
      <c r="CM57" s="8"/>
      <c r="CO57" s="192"/>
      <c r="CQ57" s="11"/>
      <c r="CR57" s="11"/>
      <c r="CS57" s="11"/>
      <c r="CT57" s="11"/>
      <c r="CU57" s="8"/>
    </row>
    <row r="58" spans="1:99" ht="6" customHeight="1">
      <c r="A58" s="192"/>
      <c r="B58" s="6"/>
      <c r="C58" s="10"/>
      <c r="D58" s="10"/>
      <c r="E58" s="10"/>
      <c r="F58" s="10"/>
      <c r="G58" s="10"/>
      <c r="H58" s="10"/>
      <c r="I58" s="10"/>
      <c r="J58" s="10"/>
      <c r="K58" s="9"/>
      <c r="L58" s="9"/>
      <c r="M58" s="9"/>
      <c r="N58" s="9"/>
      <c r="O58" s="9"/>
      <c r="P58" s="9"/>
      <c r="Q58" s="9"/>
      <c r="R58" s="192"/>
      <c r="T58" s="10"/>
      <c r="U58" s="10"/>
      <c r="V58" s="10"/>
      <c r="X58" s="183"/>
      <c r="Z58" s="10"/>
      <c r="AA58" s="10"/>
      <c r="AB58" s="10"/>
      <c r="AC58" s="10"/>
      <c r="AD58" s="10"/>
      <c r="AF58" s="183"/>
      <c r="AH58" s="10"/>
      <c r="AI58" s="10"/>
      <c r="AJ58" s="10"/>
      <c r="AK58" s="10"/>
      <c r="AL58" s="10"/>
      <c r="AN58" s="192"/>
      <c r="AP58" s="13"/>
      <c r="AQ58" s="13"/>
      <c r="AR58" s="13"/>
      <c r="AS58" s="13"/>
      <c r="AT58" s="10"/>
      <c r="AV58" s="183"/>
      <c r="AX58" s="13"/>
      <c r="AY58" s="13"/>
      <c r="AZ58" s="13"/>
      <c r="BA58" s="13"/>
      <c r="BB58" s="10"/>
      <c r="BD58" s="12"/>
      <c r="BF58" s="12"/>
      <c r="BG58" s="12"/>
      <c r="BH58" s="12"/>
      <c r="BI58" s="183"/>
      <c r="BJ58" s="12"/>
      <c r="BK58" s="13"/>
      <c r="BL58" s="13"/>
      <c r="BM58" s="13"/>
      <c r="BN58" s="13"/>
      <c r="BO58" s="10"/>
      <c r="BP58" s="12"/>
      <c r="BQ58" s="183"/>
      <c r="BR58" s="12"/>
      <c r="BS58" s="13"/>
      <c r="BT58" s="13"/>
      <c r="BU58" s="13"/>
      <c r="BV58" s="13"/>
      <c r="BW58" s="10"/>
      <c r="BY58" s="183"/>
      <c r="BZ58" s="12"/>
      <c r="CA58" s="13"/>
      <c r="CB58" s="13"/>
      <c r="CC58" s="13"/>
      <c r="CD58" s="13"/>
      <c r="CE58" s="10"/>
      <c r="CG58" s="192"/>
      <c r="CI58" s="13"/>
      <c r="CJ58" s="13"/>
      <c r="CK58" s="13"/>
      <c r="CL58" s="13"/>
      <c r="CM58" s="10"/>
      <c r="CO58" s="192"/>
      <c r="CQ58" s="13"/>
      <c r="CR58" s="13"/>
      <c r="CS58" s="13"/>
      <c r="CT58" s="13"/>
      <c r="CU58" s="10"/>
    </row>
    <row r="59" spans="1:99" ht="20.100000000000001" customHeight="1">
      <c r="A59" s="192"/>
      <c r="B59" s="6"/>
      <c r="C59" s="4" t="s">
        <v>17</v>
      </c>
      <c r="F59" s="201"/>
      <c r="G59" s="201"/>
      <c r="H59" s="201"/>
      <c r="I59" s="201"/>
      <c r="J59" s="175" t="s">
        <v>4</v>
      </c>
      <c r="K59" s="175"/>
      <c r="L59" s="175"/>
      <c r="M59" s="175"/>
      <c r="N59" s="175"/>
      <c r="O59" s="175"/>
      <c r="P59" s="175"/>
      <c r="Q59" s="175"/>
      <c r="R59" s="192"/>
      <c r="T59" s="202"/>
      <c r="U59" s="202"/>
      <c r="V59" s="175" t="s">
        <v>7</v>
      </c>
      <c r="W59" s="175"/>
      <c r="X59" s="183"/>
      <c r="Y59" s="175"/>
      <c r="Z59" s="175" t="s">
        <v>138</v>
      </c>
      <c r="AA59" s="189" t="str">
        <f>IF(T59="","",IF(AND(39&lt;T59+1,T59&lt;65),SUM($V$9:$Y$13),SUM($V$9:$Y$11)))</f>
        <v/>
      </c>
      <c r="AB59" s="189"/>
      <c r="AC59" s="189"/>
      <c r="AD59" s="175" t="s">
        <v>134</v>
      </c>
      <c r="AF59" s="183"/>
      <c r="AH59" s="188">
        <f>IF(AA59="",0,MAX(ROUNDDOWN((F59-$AP$9)*AA59/100,-2),0,0))</f>
        <v>0</v>
      </c>
      <c r="AI59" s="188"/>
      <c r="AJ59" s="188"/>
      <c r="AK59" s="188"/>
      <c r="AL59" s="175" t="s">
        <v>4</v>
      </c>
      <c r="AN59" s="192"/>
      <c r="AP59" s="191">
        <f>IF(T59="",0,MAX(SUM(AP61:AS65,0)))</f>
        <v>0</v>
      </c>
      <c r="AQ59" s="191"/>
      <c r="AR59" s="191"/>
      <c r="AS59" s="191"/>
      <c r="AT59" s="175" t="s">
        <v>4</v>
      </c>
      <c r="AU59" s="175"/>
      <c r="AV59" s="183"/>
      <c r="AW59" s="175"/>
      <c r="AX59" s="184" t="str">
        <f>IF(T59="","",IF(AND(39&lt;T59+1,T59&lt;65),$BM$9+$BM$11+$BM$13,$BM$9+$BM$11))</f>
        <v/>
      </c>
      <c r="AY59" s="184"/>
      <c r="AZ59" s="184"/>
      <c r="BA59" s="184"/>
      <c r="BB59" s="175" t="s">
        <v>4</v>
      </c>
      <c r="BC59" s="175"/>
      <c r="BD59" s="12"/>
      <c r="BE59" s="175"/>
      <c r="BF59" s="12"/>
      <c r="BG59" s="12"/>
      <c r="BH59" s="12"/>
      <c r="BI59" s="183"/>
      <c r="BJ59" s="12"/>
      <c r="BK59" s="184" t="str">
        <f>IF(T59="","",IF(T59&lt;6,ROUNDDOWN(AX59*(1-$BF$23)*0.5,-2),IF(AND(6&lt;=T59+1,T59+1&lt;=18),0,0)))</f>
        <v/>
      </c>
      <c r="BL59" s="184"/>
      <c r="BM59" s="184"/>
      <c r="BN59" s="184"/>
      <c r="BO59" s="175" t="s">
        <v>4</v>
      </c>
      <c r="BP59" s="12"/>
      <c r="BQ59" s="183"/>
      <c r="BR59" s="12"/>
      <c r="BS59" s="184">
        <f>IF(T59="",0,IF(T59&lt;6,0,IF(AND(5&lt;T59+1,T59+1&lt;=18),ROUNDDOWN(AX59*(1-$BF$23)*0.8,-2),0)))</f>
        <v>0</v>
      </c>
      <c r="BT59" s="184"/>
      <c r="BU59" s="184"/>
      <c r="BV59" s="184"/>
      <c r="BW59" s="175" t="s">
        <v>4</v>
      </c>
      <c r="BY59" s="183"/>
      <c r="BZ59" s="12"/>
      <c r="CA59" s="184">
        <f>IF(BS59=0,0,AX59-BS59)</f>
        <v>0</v>
      </c>
      <c r="CB59" s="184"/>
      <c r="CC59" s="184"/>
      <c r="CD59" s="184"/>
      <c r="CE59" s="175" t="s">
        <v>4</v>
      </c>
      <c r="CG59" s="192"/>
      <c r="CI59" s="191">
        <f>IF(T59="",0,IF(T59&lt;6,BK59,IF(AND(6&lt;=T59+1,T59+1&lt;=18),BS59,ROUNDDOWN(AX59*(1-$BF$23),-2))))</f>
        <v>0</v>
      </c>
      <c r="CJ59" s="191"/>
      <c r="CK59" s="191"/>
      <c r="CL59" s="191"/>
      <c r="CM59" s="175" t="s">
        <v>4</v>
      </c>
      <c r="CO59" s="192"/>
      <c r="CQ59" s="191">
        <f>IF(CI59="","",AP59+CI59)</f>
        <v>0</v>
      </c>
      <c r="CR59" s="191"/>
      <c r="CS59" s="191"/>
      <c r="CT59" s="191"/>
      <c r="CU59" s="175" t="s">
        <v>4</v>
      </c>
    </row>
    <row r="60" spans="1:99" ht="6" hidden="1" customHeight="1">
      <c r="A60" s="192"/>
      <c r="B60" s="6"/>
      <c r="C60" s="4"/>
      <c r="F60" s="176"/>
      <c r="G60" s="176"/>
      <c r="H60" s="176"/>
      <c r="I60" s="176"/>
      <c r="J60" s="175"/>
      <c r="K60" s="175"/>
      <c r="L60" s="175"/>
      <c r="M60" s="175"/>
      <c r="N60" s="175"/>
      <c r="O60" s="175"/>
      <c r="P60" s="175"/>
      <c r="Q60" s="175"/>
      <c r="R60" s="192"/>
      <c r="T60" s="82"/>
      <c r="U60" s="82"/>
      <c r="V60" s="175"/>
      <c r="W60" s="175"/>
      <c r="X60" s="183"/>
      <c r="Y60" s="175"/>
      <c r="Z60" s="175"/>
      <c r="AA60" s="177"/>
      <c r="AB60" s="177"/>
      <c r="AC60" s="177"/>
      <c r="AD60" s="175"/>
      <c r="AF60" s="183"/>
      <c r="AH60" s="178"/>
      <c r="AI60" s="178"/>
      <c r="AJ60" s="178"/>
      <c r="AK60" s="178"/>
      <c r="AL60" s="175"/>
      <c r="AN60" s="192"/>
      <c r="AP60" s="178"/>
      <c r="AQ60" s="178"/>
      <c r="AR60" s="178"/>
      <c r="AS60" s="178"/>
      <c r="AT60" s="175"/>
      <c r="AU60" s="175"/>
      <c r="AV60" s="183"/>
      <c r="AW60" s="175"/>
      <c r="AX60" s="176"/>
      <c r="AY60" s="176"/>
      <c r="AZ60" s="176"/>
      <c r="BA60" s="176"/>
      <c r="BB60" s="175"/>
      <c r="BC60" s="175"/>
      <c r="BD60" s="12"/>
      <c r="BE60" s="175"/>
      <c r="BF60" s="12"/>
      <c r="BG60" s="12"/>
      <c r="BH60" s="12"/>
      <c r="BI60" s="183"/>
      <c r="BJ60" s="12"/>
      <c r="BK60" s="176"/>
      <c r="BL60" s="176"/>
      <c r="BM60" s="176"/>
      <c r="BN60" s="176"/>
      <c r="BO60" s="175"/>
      <c r="BP60" s="12"/>
      <c r="BQ60" s="183"/>
      <c r="BR60" s="12"/>
      <c r="BS60" s="176"/>
      <c r="BT60" s="176"/>
      <c r="BU60" s="176"/>
      <c r="BV60" s="176"/>
      <c r="BW60" s="175"/>
      <c r="BY60" s="183"/>
      <c r="BZ60" s="12"/>
      <c r="CA60" s="176"/>
      <c r="CB60" s="176"/>
      <c r="CC60" s="176"/>
      <c r="CD60" s="176"/>
      <c r="CE60" s="175"/>
      <c r="CG60" s="192"/>
      <c r="CI60" s="178"/>
      <c r="CJ60" s="178"/>
      <c r="CK60" s="178"/>
      <c r="CL60" s="178"/>
      <c r="CM60" s="175"/>
      <c r="CO60" s="192"/>
      <c r="CQ60" s="178"/>
      <c r="CR60" s="178"/>
      <c r="CS60" s="178"/>
      <c r="CT60" s="178"/>
      <c r="CU60" s="175"/>
    </row>
    <row r="61" spans="1:99" ht="20.100000000000001" hidden="1" customHeight="1">
      <c r="A61" s="192"/>
      <c r="B61" s="6"/>
      <c r="C61" s="4"/>
      <c r="F61" s="176"/>
      <c r="G61" s="176"/>
      <c r="H61" s="176"/>
      <c r="I61" s="176"/>
      <c r="J61" s="175"/>
      <c r="K61" s="175"/>
      <c r="L61" s="175"/>
      <c r="M61" s="175"/>
      <c r="N61" s="175"/>
      <c r="O61" s="175"/>
      <c r="P61" s="175"/>
      <c r="Q61" s="175"/>
      <c r="R61" s="192"/>
      <c r="T61" s="82"/>
      <c r="U61" s="82"/>
      <c r="V61" s="175"/>
      <c r="W61" s="175"/>
      <c r="X61" s="183"/>
      <c r="Y61" s="175"/>
      <c r="Z61" s="175" t="s">
        <v>139</v>
      </c>
      <c r="AA61" s="189" t="str">
        <f>IF(T59="","",$V$9)</f>
        <v/>
      </c>
      <c r="AB61" s="189"/>
      <c r="AC61" s="189"/>
      <c r="AD61" s="175" t="s">
        <v>134</v>
      </c>
      <c r="AF61" s="183"/>
      <c r="AH61" s="188">
        <f>IF(AA61="",0,MAX(ROUNDDOWN((F59-$AP$9)*AA61/100,-2),0,0))</f>
        <v>0</v>
      </c>
      <c r="AI61" s="188"/>
      <c r="AJ61" s="188"/>
      <c r="AK61" s="188"/>
      <c r="AL61" s="175" t="s">
        <v>4</v>
      </c>
      <c r="AN61" s="192"/>
      <c r="AP61" s="188">
        <f>IF(T59="",0,IF($AZ$9&lt;=AH61,$AZ$9-CI61,IF(AH61&lt;$AZ$9,MIN(AH61,$AZ$9-CI61),0)))</f>
        <v>0</v>
      </c>
      <c r="AQ61" s="188"/>
      <c r="AR61" s="188"/>
      <c r="AS61" s="188"/>
      <c r="AT61" s="175" t="s">
        <v>4</v>
      </c>
      <c r="AU61" s="175"/>
      <c r="AV61" s="183"/>
      <c r="AW61" s="175"/>
      <c r="AX61" s="184">
        <f>$BM$9</f>
        <v>35800</v>
      </c>
      <c r="AY61" s="184"/>
      <c r="AZ61" s="184"/>
      <c r="BA61" s="184"/>
      <c r="BB61" s="175" t="s">
        <v>4</v>
      </c>
      <c r="BC61" s="175"/>
      <c r="BD61" s="12"/>
      <c r="BE61" s="175"/>
      <c r="BF61" s="12"/>
      <c r="BG61" s="12"/>
      <c r="BH61" s="12"/>
      <c r="BI61" s="183"/>
      <c r="BJ61" s="12"/>
      <c r="BK61" s="184" t="str">
        <f>IF(T59="","",IF(T59&lt;6,ROUNDDOWN(AX61*(1-$BF$23)*0.5,-2),IF(AND(6&lt;=T59+1,T59+1&lt;=18),0,0)))</f>
        <v/>
      </c>
      <c r="BL61" s="184"/>
      <c r="BM61" s="184"/>
      <c r="BN61" s="184"/>
      <c r="BO61" s="175" t="s">
        <v>4</v>
      </c>
      <c r="BP61" s="12"/>
      <c r="BQ61" s="183"/>
      <c r="BR61" s="12"/>
      <c r="BS61" s="184">
        <f>IF(T59="",0,IF(T59&lt;6,0,IF(AND(5&lt;T59+1,T59+1&lt;=18),ROUNDDOWN(AX61*(1-$BF$23)*0.8,-2),0)))</f>
        <v>0</v>
      </c>
      <c r="BT61" s="184"/>
      <c r="BU61" s="184"/>
      <c r="BV61" s="184"/>
      <c r="BW61" s="175" t="s">
        <v>4</v>
      </c>
      <c r="BY61" s="183"/>
      <c r="BZ61" s="12"/>
      <c r="CA61" s="184">
        <f>IF(BS61=0,0,AX61-BS61)</f>
        <v>0</v>
      </c>
      <c r="CB61" s="184"/>
      <c r="CC61" s="184"/>
      <c r="CD61" s="184"/>
      <c r="CE61" s="175" t="s">
        <v>4</v>
      </c>
      <c r="CG61" s="192"/>
      <c r="CI61" s="188">
        <f>IF(T59="",0,IF(T59&lt;6,BK61,IF(AND(6&lt;=T59+1,T59+1&lt;=18),BS61,ROUNDDOWN(AX61*(1-$BF$23),-2))))</f>
        <v>0</v>
      </c>
      <c r="CJ61" s="188"/>
      <c r="CK61" s="188"/>
      <c r="CL61" s="188"/>
      <c r="CM61" s="175" t="s">
        <v>4</v>
      </c>
      <c r="CO61" s="192"/>
      <c r="CQ61" s="188">
        <f>IF(CI61="","",AP61+CI61)</f>
        <v>0</v>
      </c>
      <c r="CR61" s="188"/>
      <c r="CS61" s="188"/>
      <c r="CT61" s="188"/>
      <c r="CU61" s="175" t="s">
        <v>4</v>
      </c>
    </row>
    <row r="62" spans="1:99" ht="6" hidden="1" customHeight="1">
      <c r="A62" s="192"/>
      <c r="B62" s="6"/>
      <c r="C62" s="4"/>
      <c r="F62" s="176"/>
      <c r="G62" s="176"/>
      <c r="H62" s="176"/>
      <c r="I62" s="176"/>
      <c r="J62" s="175"/>
      <c r="K62" s="175"/>
      <c r="L62" s="175"/>
      <c r="M62" s="175"/>
      <c r="N62" s="175"/>
      <c r="O62" s="175"/>
      <c r="P62" s="175"/>
      <c r="Q62" s="175"/>
      <c r="R62" s="192"/>
      <c r="T62" s="82"/>
      <c r="U62" s="82"/>
      <c r="V62" s="175"/>
      <c r="W62" s="175"/>
      <c r="X62" s="183"/>
      <c r="Y62" s="175"/>
      <c r="Z62" s="175"/>
      <c r="AA62" s="177"/>
      <c r="AB62" s="177"/>
      <c r="AC62" s="177"/>
      <c r="AD62" s="175"/>
      <c r="AF62" s="183"/>
      <c r="AH62" s="178"/>
      <c r="AI62" s="178"/>
      <c r="AJ62" s="178"/>
      <c r="AK62" s="178"/>
      <c r="AL62" s="175"/>
      <c r="AN62" s="192"/>
      <c r="AP62" s="178"/>
      <c r="AQ62" s="178"/>
      <c r="AR62" s="178"/>
      <c r="AS62" s="178"/>
      <c r="AT62" s="175"/>
      <c r="AU62" s="175"/>
      <c r="AV62" s="183"/>
      <c r="AW62" s="175"/>
      <c r="AX62" s="176"/>
      <c r="AY62" s="176"/>
      <c r="AZ62" s="176"/>
      <c r="BA62" s="176"/>
      <c r="BB62" s="175"/>
      <c r="BC62" s="175"/>
      <c r="BD62" s="12"/>
      <c r="BE62" s="175"/>
      <c r="BF62" s="12"/>
      <c r="BG62" s="12"/>
      <c r="BH62" s="12"/>
      <c r="BI62" s="183"/>
      <c r="BJ62" s="12"/>
      <c r="BK62" s="176"/>
      <c r="BL62" s="176"/>
      <c r="BM62" s="176"/>
      <c r="BN62" s="176"/>
      <c r="BO62" s="175"/>
      <c r="BP62" s="12"/>
      <c r="BQ62" s="183"/>
      <c r="BR62" s="12"/>
      <c r="BS62" s="176"/>
      <c r="BT62" s="176"/>
      <c r="BU62" s="176"/>
      <c r="BV62" s="176"/>
      <c r="BW62" s="175"/>
      <c r="BY62" s="183"/>
      <c r="BZ62" s="12"/>
      <c r="CA62" s="176"/>
      <c r="CB62" s="176"/>
      <c r="CC62" s="176"/>
      <c r="CD62" s="176"/>
      <c r="CE62" s="175"/>
      <c r="CG62" s="192"/>
      <c r="CI62" s="178"/>
      <c r="CJ62" s="178"/>
      <c r="CK62" s="178"/>
      <c r="CL62" s="178"/>
      <c r="CM62" s="175"/>
      <c r="CO62" s="192"/>
      <c r="CQ62" s="178"/>
      <c r="CR62" s="178"/>
      <c r="CS62" s="178"/>
      <c r="CT62" s="178"/>
      <c r="CU62" s="175"/>
    </row>
    <row r="63" spans="1:99" ht="20.100000000000001" hidden="1" customHeight="1">
      <c r="A63" s="192"/>
      <c r="B63" s="6"/>
      <c r="C63" s="4"/>
      <c r="F63" s="176"/>
      <c r="G63" s="176"/>
      <c r="H63" s="176"/>
      <c r="I63" s="176"/>
      <c r="J63" s="175"/>
      <c r="K63" s="175"/>
      <c r="L63" s="175"/>
      <c r="M63" s="175"/>
      <c r="N63" s="175"/>
      <c r="O63" s="175"/>
      <c r="P63" s="175"/>
      <c r="Q63" s="175"/>
      <c r="R63" s="192"/>
      <c r="T63" s="82"/>
      <c r="U63" s="82"/>
      <c r="V63" s="175"/>
      <c r="W63" s="175"/>
      <c r="X63" s="183"/>
      <c r="Y63" s="175"/>
      <c r="Z63" s="175" t="s">
        <v>140</v>
      </c>
      <c r="AA63" s="189" t="str">
        <f>IF(T59="","",$V$11)</f>
        <v/>
      </c>
      <c r="AB63" s="189"/>
      <c r="AC63" s="189"/>
      <c r="AD63" s="175" t="s">
        <v>134</v>
      </c>
      <c r="AF63" s="183"/>
      <c r="AH63" s="188">
        <f>IF(AA63="",0,MAX(ROUNDDOWN((F59-$AP$9)*AA63/100,-2),0,0))</f>
        <v>0</v>
      </c>
      <c r="AI63" s="188"/>
      <c r="AJ63" s="188"/>
      <c r="AK63" s="188"/>
      <c r="AL63" s="175" t="s">
        <v>4</v>
      </c>
      <c r="AN63" s="192"/>
      <c r="AP63" s="188">
        <f>IF(T59="",0,IF($AZ$11&lt;=AH63,$AZ$11-CI63,IF(AH63&lt;$AZ$11,MIN(AH63,$AZ$11-CI63),0)))</f>
        <v>0</v>
      </c>
      <c r="AQ63" s="188"/>
      <c r="AR63" s="188"/>
      <c r="AS63" s="188"/>
      <c r="AT63" s="175" t="s">
        <v>4</v>
      </c>
      <c r="AU63" s="175"/>
      <c r="AV63" s="183"/>
      <c r="AW63" s="175"/>
      <c r="AX63" s="184">
        <f>$BM$11</f>
        <v>15700</v>
      </c>
      <c r="AY63" s="184"/>
      <c r="AZ63" s="184"/>
      <c r="BA63" s="184"/>
      <c r="BB63" s="175" t="s">
        <v>4</v>
      </c>
      <c r="BC63" s="175"/>
      <c r="BD63" s="12"/>
      <c r="BE63" s="175"/>
      <c r="BF63" s="12"/>
      <c r="BG63" s="12"/>
      <c r="BH63" s="12"/>
      <c r="BI63" s="183"/>
      <c r="BJ63" s="12"/>
      <c r="BK63" s="184" t="str">
        <f>IF(T59="","",IF(T59&lt;6,ROUNDDOWN(AX63*(1-$BF$23)*0.5,-2),IF(AND(6&lt;=T59+1,T59+1&lt;=18),0,0)))</f>
        <v/>
      </c>
      <c r="BL63" s="184"/>
      <c r="BM63" s="184"/>
      <c r="BN63" s="184"/>
      <c r="BO63" s="175" t="s">
        <v>4</v>
      </c>
      <c r="BP63" s="12"/>
      <c r="BQ63" s="183"/>
      <c r="BR63" s="12"/>
      <c r="BS63" s="184">
        <f>IF(T59="",0,IF(T59&lt;6,0,IF(AND(5&lt;T59+1,T59+1&lt;=18),ROUNDDOWN(AX63*(1-$BF$23)*0.8,-2),0)))</f>
        <v>0</v>
      </c>
      <c r="BT63" s="184"/>
      <c r="BU63" s="184"/>
      <c r="BV63" s="184"/>
      <c r="BW63" s="175" t="s">
        <v>4</v>
      </c>
      <c r="BY63" s="183"/>
      <c r="BZ63" s="12"/>
      <c r="CA63" s="184">
        <f>IF(BS63=0,0,AX63-BS63)</f>
        <v>0</v>
      </c>
      <c r="CB63" s="184"/>
      <c r="CC63" s="184"/>
      <c r="CD63" s="184"/>
      <c r="CE63" s="175" t="s">
        <v>4</v>
      </c>
      <c r="CG63" s="192"/>
      <c r="CI63" s="188">
        <f>IF(T59="",0,IF(T59&lt;6,BK63,IF(AND(6&lt;=T59+1,T59+1&lt;=18),BS63,ROUNDDOWN(AX63*(1-$BF$23),-2))))</f>
        <v>0</v>
      </c>
      <c r="CJ63" s="188"/>
      <c r="CK63" s="188"/>
      <c r="CL63" s="188"/>
      <c r="CM63" s="175" t="s">
        <v>4</v>
      </c>
      <c r="CO63" s="192"/>
      <c r="CQ63" s="188">
        <f>IF(CI63="","",AP63+CI63)</f>
        <v>0</v>
      </c>
      <c r="CR63" s="188"/>
      <c r="CS63" s="188"/>
      <c r="CT63" s="188"/>
      <c r="CU63" s="175" t="s">
        <v>4</v>
      </c>
    </row>
    <row r="64" spans="1:99" ht="6" hidden="1" customHeight="1">
      <c r="A64" s="192"/>
      <c r="B64" s="6"/>
      <c r="C64" s="4"/>
      <c r="F64" s="176"/>
      <c r="G64" s="176"/>
      <c r="H64" s="176"/>
      <c r="I64" s="176"/>
      <c r="J64" s="175"/>
      <c r="K64" s="175"/>
      <c r="L64" s="175"/>
      <c r="M64" s="175"/>
      <c r="N64" s="175"/>
      <c r="O64" s="175"/>
      <c r="P64" s="175"/>
      <c r="Q64" s="175"/>
      <c r="R64" s="192"/>
      <c r="T64" s="82"/>
      <c r="U64" s="82"/>
      <c r="V64" s="175"/>
      <c r="W64" s="175"/>
      <c r="X64" s="183"/>
      <c r="Y64" s="175"/>
      <c r="Z64" s="175"/>
      <c r="AA64" s="177"/>
      <c r="AB64" s="177"/>
      <c r="AC64" s="177"/>
      <c r="AD64" s="175"/>
      <c r="AF64" s="183"/>
      <c r="AH64" s="178"/>
      <c r="AI64" s="178"/>
      <c r="AJ64" s="178"/>
      <c r="AK64" s="178"/>
      <c r="AL64" s="175"/>
      <c r="AN64" s="192"/>
      <c r="AP64" s="178"/>
      <c r="AQ64" s="178"/>
      <c r="AR64" s="178"/>
      <c r="AS64" s="178"/>
      <c r="AT64" s="175"/>
      <c r="AU64" s="175"/>
      <c r="AV64" s="183"/>
      <c r="AW64" s="175"/>
      <c r="AX64" s="176"/>
      <c r="AY64" s="176"/>
      <c r="AZ64" s="176"/>
      <c r="BA64" s="176"/>
      <c r="BB64" s="175"/>
      <c r="BC64" s="175"/>
      <c r="BD64" s="12"/>
      <c r="BE64" s="175"/>
      <c r="BF64" s="12"/>
      <c r="BG64" s="12"/>
      <c r="BH64" s="12"/>
      <c r="BI64" s="183"/>
      <c r="BJ64" s="12"/>
      <c r="BK64" s="176"/>
      <c r="BL64" s="176"/>
      <c r="BM64" s="176"/>
      <c r="BN64" s="176"/>
      <c r="BO64" s="175"/>
      <c r="BP64" s="12"/>
      <c r="BQ64" s="183"/>
      <c r="BR64" s="12"/>
      <c r="BS64" s="176"/>
      <c r="BT64" s="176"/>
      <c r="BU64" s="176"/>
      <c r="BV64" s="176"/>
      <c r="BW64" s="175"/>
      <c r="BY64" s="183"/>
      <c r="BZ64" s="12"/>
      <c r="CA64" s="176"/>
      <c r="CB64" s="176"/>
      <c r="CC64" s="176"/>
      <c r="CD64" s="176"/>
      <c r="CE64" s="175"/>
      <c r="CG64" s="192"/>
      <c r="CI64" s="178"/>
      <c r="CJ64" s="178"/>
      <c r="CK64" s="178"/>
      <c r="CL64" s="178"/>
      <c r="CM64" s="175"/>
      <c r="CO64" s="192"/>
      <c r="CQ64" s="178"/>
      <c r="CR64" s="178"/>
      <c r="CS64" s="178"/>
      <c r="CT64" s="178"/>
      <c r="CU64" s="175"/>
    </row>
    <row r="65" spans="1:99" ht="20.100000000000001" hidden="1" customHeight="1">
      <c r="A65" s="192"/>
      <c r="B65" s="6"/>
      <c r="C65" s="4"/>
      <c r="F65" s="176"/>
      <c r="G65" s="176"/>
      <c r="H65" s="176"/>
      <c r="I65" s="176"/>
      <c r="J65" s="175"/>
      <c r="K65" s="175"/>
      <c r="L65" s="175"/>
      <c r="M65" s="175"/>
      <c r="N65" s="175"/>
      <c r="O65" s="175"/>
      <c r="P65" s="175"/>
      <c r="Q65" s="175"/>
      <c r="R65" s="192"/>
      <c r="T65" s="82"/>
      <c r="U65" s="82"/>
      <c r="V65" s="175"/>
      <c r="W65" s="175"/>
      <c r="X65" s="183"/>
      <c r="Y65" s="175"/>
      <c r="Z65" s="175" t="s">
        <v>141</v>
      </c>
      <c r="AA65" s="189" t="str">
        <f>IF(T59="","",IF(AND(39&lt;T59+1,T59&lt;65),$V$13,""))</f>
        <v/>
      </c>
      <c r="AB65" s="189"/>
      <c r="AC65" s="189"/>
      <c r="AD65" s="175" t="s">
        <v>134</v>
      </c>
      <c r="AF65" s="183"/>
      <c r="AH65" s="188">
        <f>IF(AA65="",0,MAX(ROUNDDOWN((F59-$AP$9)*AA65/100,-2),0,0))</f>
        <v>0</v>
      </c>
      <c r="AI65" s="188"/>
      <c r="AJ65" s="188"/>
      <c r="AK65" s="188"/>
      <c r="AL65" s="175" t="s">
        <v>4</v>
      </c>
      <c r="AN65" s="192"/>
      <c r="AP65" s="188">
        <f>IF(T59="",0,IF($AZ$13&lt;=AH65,$AZ$13-CI65,IF(AH65&lt;$AZ$13,MIN(AH65,$AZ$13-CI65),0)))</f>
        <v>0</v>
      </c>
      <c r="AQ65" s="188"/>
      <c r="AR65" s="188"/>
      <c r="AS65" s="188"/>
      <c r="AT65" s="175" t="s">
        <v>4</v>
      </c>
      <c r="AU65" s="175"/>
      <c r="AV65" s="183"/>
      <c r="AW65" s="175"/>
      <c r="AX65" s="184">
        <f>IF(T59="",0,IF(AND(39&lt;T59+1,T59&lt;65),13600,0))</f>
        <v>0</v>
      </c>
      <c r="AY65" s="184"/>
      <c r="AZ65" s="184"/>
      <c r="BA65" s="184"/>
      <c r="BB65" s="175" t="s">
        <v>4</v>
      </c>
      <c r="BC65" s="175"/>
      <c r="BD65" s="12"/>
      <c r="BE65" s="175"/>
      <c r="BF65" s="12"/>
      <c r="BG65" s="12"/>
      <c r="BH65" s="12"/>
      <c r="BI65" s="183"/>
      <c r="BJ65" s="12"/>
      <c r="BK65" s="184" t="str">
        <f>IF(T59="","",IF(T59&lt;6,ROUNDDOWN(AX65*(1-$BF$23)*0.5,-2),IF(AND(6&lt;=T59+1,T59+1&lt;=18),0,0)))</f>
        <v/>
      </c>
      <c r="BL65" s="184"/>
      <c r="BM65" s="184"/>
      <c r="BN65" s="184"/>
      <c r="BO65" s="175" t="s">
        <v>4</v>
      </c>
      <c r="BP65" s="12"/>
      <c r="BQ65" s="183"/>
      <c r="BR65" s="12"/>
      <c r="BS65" s="184">
        <f>IF(T59="",0,IF(T59&lt;6,0,IF(AND(5&lt;T59+1,T59+1&lt;=18),ROUNDDOWN(AX65*(1-$BF$23)*0.8,-2),0)))</f>
        <v>0</v>
      </c>
      <c r="BT65" s="184"/>
      <c r="BU65" s="184"/>
      <c r="BV65" s="184"/>
      <c r="BW65" s="175" t="s">
        <v>4</v>
      </c>
      <c r="BY65" s="183"/>
      <c r="BZ65" s="12"/>
      <c r="CA65" s="184">
        <f>IF(BS65=0,0,AX65-BS65)</f>
        <v>0</v>
      </c>
      <c r="CB65" s="184"/>
      <c r="CC65" s="184"/>
      <c r="CD65" s="184"/>
      <c r="CE65" s="175" t="s">
        <v>4</v>
      </c>
      <c r="CG65" s="192"/>
      <c r="CI65" s="188">
        <f>IF(T59="",0,IF(T59&lt;6,BK65,IF(AND(6&lt;=T59+1,T59+1&lt;=18),BS65,ROUNDDOWN(AX65*(1-$BF$23),-2))))</f>
        <v>0</v>
      </c>
      <c r="CJ65" s="188"/>
      <c r="CK65" s="188"/>
      <c r="CL65" s="188"/>
      <c r="CM65" s="175" t="s">
        <v>4</v>
      </c>
      <c r="CO65" s="192"/>
      <c r="CQ65" s="188">
        <f>IF(CI65="","",AP65+CI65)</f>
        <v>0</v>
      </c>
      <c r="CR65" s="188"/>
      <c r="CS65" s="188"/>
      <c r="CT65" s="188"/>
      <c r="CU65" s="175" t="s">
        <v>4</v>
      </c>
    </row>
    <row r="66" spans="1:99" ht="6" customHeight="1">
      <c r="A66" s="192"/>
      <c r="B66" s="6"/>
      <c r="C66" s="8"/>
      <c r="D66" s="8"/>
      <c r="E66" s="8"/>
      <c r="F66" s="8"/>
      <c r="G66" s="8"/>
      <c r="H66" s="8"/>
      <c r="I66" s="8"/>
      <c r="J66" s="8"/>
      <c r="K66" s="9"/>
      <c r="L66" s="9"/>
      <c r="M66" s="9"/>
      <c r="N66" s="9"/>
      <c r="O66" s="9"/>
      <c r="P66" s="9"/>
      <c r="Q66" s="9"/>
      <c r="R66" s="192"/>
      <c r="T66" s="8"/>
      <c r="U66" s="8"/>
      <c r="V66" s="8"/>
      <c r="X66" s="183"/>
      <c r="Z66" s="8"/>
      <c r="AA66" s="8"/>
      <c r="AB66" s="8"/>
      <c r="AC66" s="8"/>
      <c r="AD66" s="8"/>
      <c r="AF66" s="183"/>
      <c r="AH66" s="8"/>
      <c r="AI66" s="8"/>
      <c r="AJ66" s="8"/>
      <c r="AK66" s="8"/>
      <c r="AL66" s="8"/>
      <c r="AN66" s="192"/>
      <c r="AP66" s="11"/>
      <c r="AQ66" s="11"/>
      <c r="AR66" s="11"/>
      <c r="AS66" s="11"/>
      <c r="AT66" s="8"/>
      <c r="AV66" s="183"/>
      <c r="AX66" s="11"/>
      <c r="AY66" s="11"/>
      <c r="AZ66" s="11"/>
      <c r="BA66" s="11"/>
      <c r="BB66" s="8"/>
      <c r="BD66" s="12"/>
      <c r="BF66" s="12"/>
      <c r="BG66" s="12"/>
      <c r="BH66" s="12"/>
      <c r="BI66" s="183"/>
      <c r="BJ66" s="12"/>
      <c r="BK66" s="11"/>
      <c r="BL66" s="11"/>
      <c r="BM66" s="11"/>
      <c r="BN66" s="11"/>
      <c r="BO66" s="8"/>
      <c r="BP66" s="12"/>
      <c r="BQ66" s="183"/>
      <c r="BR66" s="12"/>
      <c r="BS66" s="11"/>
      <c r="BT66" s="11"/>
      <c r="BU66" s="11"/>
      <c r="BV66" s="11"/>
      <c r="BW66" s="8"/>
      <c r="BY66" s="183"/>
      <c r="BZ66" s="12"/>
      <c r="CA66" s="11"/>
      <c r="CB66" s="11"/>
      <c r="CC66" s="11"/>
      <c r="CD66" s="11"/>
      <c r="CE66" s="8"/>
      <c r="CG66" s="192"/>
      <c r="CI66" s="11"/>
      <c r="CJ66" s="11"/>
      <c r="CK66" s="11"/>
      <c r="CL66" s="11"/>
      <c r="CM66" s="8"/>
      <c r="CO66" s="192"/>
      <c r="CQ66" s="11"/>
      <c r="CR66" s="11"/>
      <c r="CS66" s="11"/>
      <c r="CT66" s="11"/>
      <c r="CU66" s="8"/>
    </row>
    <row r="67" spans="1:99" ht="6" customHeight="1">
      <c r="A67" s="192"/>
      <c r="B67" s="6"/>
      <c r="C67" s="10"/>
      <c r="D67" s="10"/>
      <c r="E67" s="10"/>
      <c r="F67" s="10"/>
      <c r="G67" s="10"/>
      <c r="H67" s="10"/>
      <c r="I67" s="10"/>
      <c r="J67" s="10"/>
      <c r="K67" s="9"/>
      <c r="L67" s="9"/>
      <c r="M67" s="9"/>
      <c r="N67" s="9"/>
      <c r="O67" s="9"/>
      <c r="P67" s="9"/>
      <c r="Q67" s="9"/>
      <c r="R67" s="192"/>
      <c r="T67" s="10"/>
      <c r="U67" s="10"/>
      <c r="V67" s="10"/>
      <c r="X67" s="183"/>
      <c r="Z67" s="10"/>
      <c r="AA67" s="10"/>
      <c r="AB67" s="10"/>
      <c r="AC67" s="10"/>
      <c r="AD67" s="10"/>
      <c r="AF67" s="183"/>
      <c r="AH67" s="10"/>
      <c r="AI67" s="10"/>
      <c r="AJ67" s="10"/>
      <c r="AK67" s="10"/>
      <c r="AL67" s="10"/>
      <c r="AN67" s="192"/>
      <c r="AP67" s="13"/>
      <c r="AQ67" s="13"/>
      <c r="AR67" s="13"/>
      <c r="AS67" s="13"/>
      <c r="AT67" s="10"/>
      <c r="AV67" s="183"/>
      <c r="AX67" s="13"/>
      <c r="AY67" s="13"/>
      <c r="AZ67" s="13"/>
      <c r="BA67" s="13"/>
      <c r="BB67" s="10"/>
      <c r="BD67" s="12"/>
      <c r="BF67" s="12"/>
      <c r="BG67" s="12"/>
      <c r="BH67" s="12"/>
      <c r="BI67" s="183"/>
      <c r="BJ67" s="12"/>
      <c r="BK67" s="13"/>
      <c r="BL67" s="13"/>
      <c r="BM67" s="13"/>
      <c r="BN67" s="13"/>
      <c r="BO67" s="10"/>
      <c r="BP67" s="12"/>
      <c r="BQ67" s="183"/>
      <c r="BR67" s="12"/>
      <c r="BS67" s="13"/>
      <c r="BT67" s="13"/>
      <c r="BU67" s="13"/>
      <c r="BV67" s="13"/>
      <c r="BW67" s="10"/>
      <c r="BY67" s="183"/>
      <c r="BZ67" s="12"/>
      <c r="CA67" s="13"/>
      <c r="CB67" s="13"/>
      <c r="CC67" s="13"/>
      <c r="CD67" s="13"/>
      <c r="CE67" s="10"/>
      <c r="CG67" s="192"/>
      <c r="CI67" s="13"/>
      <c r="CJ67" s="13"/>
      <c r="CK67" s="13"/>
      <c r="CL67" s="13"/>
      <c r="CM67" s="10"/>
      <c r="CO67" s="192"/>
      <c r="CQ67" s="13"/>
      <c r="CR67" s="13"/>
      <c r="CS67" s="13"/>
      <c r="CT67" s="13"/>
      <c r="CU67" s="10"/>
    </row>
    <row r="68" spans="1:99" ht="20.100000000000001" customHeight="1">
      <c r="A68" s="192"/>
      <c r="B68" s="6"/>
      <c r="C68" s="4" t="s">
        <v>18</v>
      </c>
      <c r="F68" s="201"/>
      <c r="G68" s="201"/>
      <c r="H68" s="201"/>
      <c r="I68" s="201"/>
      <c r="J68" s="175" t="s">
        <v>4</v>
      </c>
      <c r="K68" s="175"/>
      <c r="L68" s="175"/>
      <c r="M68" s="175"/>
      <c r="N68" s="175"/>
      <c r="O68" s="175"/>
      <c r="P68" s="175"/>
      <c r="Q68" s="175"/>
      <c r="R68" s="192"/>
      <c r="T68" s="202"/>
      <c r="U68" s="202"/>
      <c r="V68" s="175" t="s">
        <v>7</v>
      </c>
      <c r="W68" s="175"/>
      <c r="X68" s="183"/>
      <c r="Y68" s="175"/>
      <c r="Z68" s="175" t="s">
        <v>138</v>
      </c>
      <c r="AA68" s="189" t="str">
        <f>IF(T68="","",IF(AND(39&lt;T68+1,T68&lt;65),SUM($V$9:$Y$13),SUM($V$9:$Y$11)))</f>
        <v/>
      </c>
      <c r="AB68" s="189"/>
      <c r="AC68" s="189"/>
      <c r="AD68" s="175" t="s">
        <v>134</v>
      </c>
      <c r="AF68" s="183"/>
      <c r="AH68" s="188">
        <f>IF(AA68="",0,MAX(ROUNDDOWN((F68-$AP$9)*AA68/100,-2),0,0))</f>
        <v>0</v>
      </c>
      <c r="AI68" s="188"/>
      <c r="AJ68" s="188"/>
      <c r="AK68" s="188"/>
      <c r="AL68" s="175" t="s">
        <v>4</v>
      </c>
      <c r="AN68" s="192"/>
      <c r="AP68" s="191">
        <f>IF(T68="",0,MAX(SUM(AP70:AS74,0)))</f>
        <v>0</v>
      </c>
      <c r="AQ68" s="191"/>
      <c r="AR68" s="191"/>
      <c r="AS68" s="191"/>
      <c r="AT68" s="175" t="s">
        <v>4</v>
      </c>
      <c r="AU68" s="175"/>
      <c r="AV68" s="183"/>
      <c r="AW68" s="175"/>
      <c r="AX68" s="184" t="str">
        <f>IF(T68="","",IF(AND(39&lt;T68+1,T68&lt;65),$BM$9+$BM$11+$BM$13,$BM$9+$BM$11))</f>
        <v/>
      </c>
      <c r="AY68" s="184"/>
      <c r="AZ68" s="184"/>
      <c r="BA68" s="184"/>
      <c r="BB68" s="175" t="s">
        <v>4</v>
      </c>
      <c r="BC68" s="175"/>
      <c r="BD68" s="12"/>
      <c r="BE68" s="175"/>
      <c r="BF68" s="12"/>
      <c r="BG68" s="12"/>
      <c r="BH68" s="12"/>
      <c r="BI68" s="183"/>
      <c r="BJ68" s="12"/>
      <c r="BK68" s="184" t="str">
        <f>IF(T68="","",IF(T68&lt;6,ROUNDDOWN(AX68*(1-$BF$23)*0.5,-2),IF(AND(6&lt;=T68+1,T68+1&lt;=18),0,0)))</f>
        <v/>
      </c>
      <c r="BL68" s="184"/>
      <c r="BM68" s="184"/>
      <c r="BN68" s="184"/>
      <c r="BO68" s="175" t="s">
        <v>4</v>
      </c>
      <c r="BP68" s="12"/>
      <c r="BQ68" s="183"/>
      <c r="BR68" s="12"/>
      <c r="BS68" s="184">
        <f>IF(T68="",0,IF(T68&lt;6,0,IF(AND(5&lt;T68+1,T68+1&lt;=18),ROUNDDOWN(AX68*(1-$BF$23)*0.8,-2),0)))</f>
        <v>0</v>
      </c>
      <c r="BT68" s="184"/>
      <c r="BU68" s="184"/>
      <c r="BV68" s="184"/>
      <c r="BW68" s="175" t="s">
        <v>4</v>
      </c>
      <c r="BY68" s="183"/>
      <c r="BZ68" s="12"/>
      <c r="CA68" s="184">
        <f>IF(BS68=0,0,AX68-BS68)</f>
        <v>0</v>
      </c>
      <c r="CB68" s="184"/>
      <c r="CC68" s="184"/>
      <c r="CD68" s="184"/>
      <c r="CE68" s="175" t="s">
        <v>4</v>
      </c>
      <c r="CG68" s="192"/>
      <c r="CI68" s="191">
        <f>IF(T68="",0,IF(T68&lt;6,BK68,IF(AND(6&lt;=T68+1,T68+1&lt;=18),BS68,ROUNDDOWN(AX68*(1-$BF$23),-2))))</f>
        <v>0</v>
      </c>
      <c r="CJ68" s="191"/>
      <c r="CK68" s="191"/>
      <c r="CL68" s="191"/>
      <c r="CM68" s="175" t="s">
        <v>4</v>
      </c>
      <c r="CO68" s="192"/>
      <c r="CQ68" s="191">
        <f>IF(CI68="","",AP68+CI68)</f>
        <v>0</v>
      </c>
      <c r="CR68" s="191"/>
      <c r="CS68" s="191"/>
      <c r="CT68" s="191"/>
      <c r="CU68" s="175" t="s">
        <v>4</v>
      </c>
    </row>
    <row r="69" spans="1:99" ht="6" hidden="1" customHeight="1">
      <c r="A69" s="192"/>
      <c r="B69" s="6"/>
      <c r="C69" s="4"/>
      <c r="F69" s="176"/>
      <c r="G69" s="176"/>
      <c r="H69" s="176"/>
      <c r="I69" s="176"/>
      <c r="J69" s="175"/>
      <c r="K69" s="175"/>
      <c r="L69" s="175"/>
      <c r="M69" s="175"/>
      <c r="N69" s="175"/>
      <c r="O69" s="175"/>
      <c r="P69" s="175"/>
      <c r="Q69" s="175"/>
      <c r="R69" s="192"/>
      <c r="T69" s="82"/>
      <c r="U69" s="82"/>
      <c r="V69" s="175"/>
      <c r="W69" s="175"/>
      <c r="X69" s="183"/>
      <c r="Y69" s="175"/>
      <c r="Z69" s="175"/>
      <c r="AA69" s="177"/>
      <c r="AB69" s="177"/>
      <c r="AC69" s="177"/>
      <c r="AD69" s="175"/>
      <c r="AF69" s="183"/>
      <c r="AH69" s="178"/>
      <c r="AI69" s="178"/>
      <c r="AJ69" s="178"/>
      <c r="AK69" s="178"/>
      <c r="AL69" s="175"/>
      <c r="AN69" s="192"/>
      <c r="AP69" s="178"/>
      <c r="AQ69" s="178"/>
      <c r="AR69" s="178"/>
      <c r="AS69" s="178"/>
      <c r="AT69" s="175"/>
      <c r="AU69" s="175"/>
      <c r="AV69" s="183"/>
      <c r="AW69" s="175"/>
      <c r="AX69" s="176"/>
      <c r="AY69" s="176"/>
      <c r="AZ69" s="176"/>
      <c r="BA69" s="176"/>
      <c r="BB69" s="175"/>
      <c r="BC69" s="175"/>
      <c r="BD69" s="12"/>
      <c r="BE69" s="175"/>
      <c r="BF69" s="12"/>
      <c r="BG69" s="12"/>
      <c r="BH69" s="12"/>
      <c r="BI69" s="183"/>
      <c r="BJ69" s="12"/>
      <c r="BK69" s="176"/>
      <c r="BL69" s="176"/>
      <c r="BM69" s="176"/>
      <c r="BN69" s="176"/>
      <c r="BO69" s="175"/>
      <c r="BP69" s="12"/>
      <c r="BQ69" s="183"/>
      <c r="BR69" s="12"/>
      <c r="BS69" s="176"/>
      <c r="BT69" s="176"/>
      <c r="BU69" s="176"/>
      <c r="BV69" s="176"/>
      <c r="BW69" s="175"/>
      <c r="BY69" s="183"/>
      <c r="BZ69" s="12"/>
      <c r="CA69" s="176"/>
      <c r="CB69" s="176"/>
      <c r="CC69" s="176"/>
      <c r="CD69" s="176"/>
      <c r="CE69" s="175"/>
      <c r="CG69" s="192"/>
      <c r="CI69" s="178"/>
      <c r="CJ69" s="178"/>
      <c r="CK69" s="178"/>
      <c r="CL69" s="178"/>
      <c r="CM69" s="175"/>
      <c r="CO69" s="192"/>
      <c r="CQ69" s="178"/>
      <c r="CR69" s="178"/>
      <c r="CS69" s="178"/>
      <c r="CT69" s="178"/>
      <c r="CU69" s="175"/>
    </row>
    <row r="70" spans="1:99" ht="20.100000000000001" hidden="1" customHeight="1">
      <c r="A70" s="192"/>
      <c r="B70" s="6"/>
      <c r="C70" s="4"/>
      <c r="F70" s="176"/>
      <c r="G70" s="176"/>
      <c r="H70" s="176"/>
      <c r="I70" s="176"/>
      <c r="J70" s="175"/>
      <c r="K70" s="175"/>
      <c r="L70" s="175"/>
      <c r="M70" s="175"/>
      <c r="N70" s="175"/>
      <c r="O70" s="175"/>
      <c r="P70" s="175"/>
      <c r="Q70" s="175"/>
      <c r="R70" s="192"/>
      <c r="T70" s="82"/>
      <c r="U70" s="82"/>
      <c r="V70" s="175"/>
      <c r="W70" s="175"/>
      <c r="X70" s="183"/>
      <c r="Y70" s="175"/>
      <c r="Z70" s="175" t="s">
        <v>139</v>
      </c>
      <c r="AA70" s="189" t="str">
        <f>IF(T68="","",$V$9)</f>
        <v/>
      </c>
      <c r="AB70" s="189"/>
      <c r="AC70" s="189"/>
      <c r="AD70" s="175" t="s">
        <v>134</v>
      </c>
      <c r="AF70" s="183"/>
      <c r="AH70" s="188">
        <f>IF(AA70="",0,MAX(ROUNDDOWN((F68-$AP$9)*AA70/100,-2),0,0))</f>
        <v>0</v>
      </c>
      <c r="AI70" s="188"/>
      <c r="AJ70" s="188"/>
      <c r="AK70" s="188"/>
      <c r="AL70" s="175" t="s">
        <v>4</v>
      </c>
      <c r="AN70" s="192"/>
      <c r="AP70" s="188">
        <f>IF(T68="",0,IF($AZ$9&lt;=AH70,$AZ$9-CI70,IF(AH70&lt;$AZ$9,MIN(AH70,$AZ$9-CI70),0)))</f>
        <v>0</v>
      </c>
      <c r="AQ70" s="188"/>
      <c r="AR70" s="188"/>
      <c r="AS70" s="188"/>
      <c r="AT70" s="175" t="s">
        <v>4</v>
      </c>
      <c r="AU70" s="175"/>
      <c r="AV70" s="183"/>
      <c r="AW70" s="175"/>
      <c r="AX70" s="184">
        <f>$BM$9</f>
        <v>35800</v>
      </c>
      <c r="AY70" s="184"/>
      <c r="AZ70" s="184"/>
      <c r="BA70" s="184"/>
      <c r="BB70" s="175" t="s">
        <v>4</v>
      </c>
      <c r="BC70" s="175"/>
      <c r="BD70" s="12"/>
      <c r="BE70" s="175"/>
      <c r="BF70" s="12"/>
      <c r="BG70" s="12"/>
      <c r="BH70" s="12"/>
      <c r="BI70" s="183"/>
      <c r="BJ70" s="12"/>
      <c r="BK70" s="184" t="str">
        <f>IF(T68="","",IF(T68&lt;6,ROUNDDOWN(AX70*(1-$BF$23)*0.5,-2),IF(AND(6&lt;=T68+1,T68+1&lt;=18),0,0)))</f>
        <v/>
      </c>
      <c r="BL70" s="184"/>
      <c r="BM70" s="184"/>
      <c r="BN70" s="184"/>
      <c r="BO70" s="175" t="s">
        <v>4</v>
      </c>
      <c r="BP70" s="12"/>
      <c r="BQ70" s="183"/>
      <c r="BR70" s="12"/>
      <c r="BS70" s="184">
        <f>IF(T68="",0,IF(T68&lt;6,0,IF(AND(5&lt;T68+1,T68+1&lt;=18),ROUNDDOWN(AX70*(1-$BF$23)*0.8,-2),0)))</f>
        <v>0</v>
      </c>
      <c r="BT70" s="184"/>
      <c r="BU70" s="184"/>
      <c r="BV70" s="184"/>
      <c r="BW70" s="175" t="s">
        <v>4</v>
      </c>
      <c r="BY70" s="183"/>
      <c r="BZ70" s="12"/>
      <c r="CA70" s="184">
        <f>IF(BS70=0,0,AX70-BS70)</f>
        <v>0</v>
      </c>
      <c r="CB70" s="184"/>
      <c r="CC70" s="184"/>
      <c r="CD70" s="184"/>
      <c r="CE70" s="175" t="s">
        <v>4</v>
      </c>
      <c r="CG70" s="192"/>
      <c r="CI70" s="188">
        <f>IF(T68="",0,IF(T68&lt;6,BK70,IF(AND(6&lt;=T68+1,T68+1&lt;=18),BS70,ROUNDDOWN(AX70*(1-$BF$23),-2))))</f>
        <v>0</v>
      </c>
      <c r="CJ70" s="188"/>
      <c r="CK70" s="188"/>
      <c r="CL70" s="188"/>
      <c r="CM70" s="175" t="s">
        <v>4</v>
      </c>
      <c r="CO70" s="192"/>
      <c r="CQ70" s="188">
        <f>IF(CI70="","",AP70+CI70)</f>
        <v>0</v>
      </c>
      <c r="CR70" s="188"/>
      <c r="CS70" s="188"/>
      <c r="CT70" s="188"/>
      <c r="CU70" s="175" t="s">
        <v>4</v>
      </c>
    </row>
    <row r="71" spans="1:99" ht="6" hidden="1" customHeight="1">
      <c r="A71" s="192"/>
      <c r="B71" s="6"/>
      <c r="C71" s="4"/>
      <c r="F71" s="176"/>
      <c r="G71" s="176"/>
      <c r="H71" s="176"/>
      <c r="I71" s="176"/>
      <c r="J71" s="175"/>
      <c r="K71" s="175"/>
      <c r="L71" s="175"/>
      <c r="M71" s="175"/>
      <c r="N71" s="175"/>
      <c r="O71" s="175"/>
      <c r="P71" s="175"/>
      <c r="Q71" s="175"/>
      <c r="R71" s="192"/>
      <c r="T71" s="82"/>
      <c r="U71" s="82"/>
      <c r="V71" s="175"/>
      <c r="W71" s="175"/>
      <c r="X71" s="183"/>
      <c r="Y71" s="175"/>
      <c r="Z71" s="175"/>
      <c r="AA71" s="177"/>
      <c r="AB71" s="177"/>
      <c r="AC71" s="177"/>
      <c r="AD71" s="175"/>
      <c r="AF71" s="183"/>
      <c r="AH71" s="178"/>
      <c r="AI71" s="178"/>
      <c r="AJ71" s="178"/>
      <c r="AK71" s="178"/>
      <c r="AL71" s="175"/>
      <c r="AN71" s="192"/>
      <c r="AP71" s="178"/>
      <c r="AQ71" s="178"/>
      <c r="AR71" s="178"/>
      <c r="AS71" s="178"/>
      <c r="AT71" s="175"/>
      <c r="AU71" s="175"/>
      <c r="AV71" s="183"/>
      <c r="AW71" s="175"/>
      <c r="AX71" s="176"/>
      <c r="AY71" s="176"/>
      <c r="AZ71" s="176"/>
      <c r="BA71" s="176"/>
      <c r="BB71" s="175"/>
      <c r="BC71" s="175"/>
      <c r="BD71" s="12"/>
      <c r="BE71" s="175"/>
      <c r="BF71" s="12"/>
      <c r="BG71" s="12"/>
      <c r="BH71" s="12"/>
      <c r="BI71" s="183"/>
      <c r="BJ71" s="12"/>
      <c r="BK71" s="176"/>
      <c r="BL71" s="176"/>
      <c r="BM71" s="176"/>
      <c r="BN71" s="176"/>
      <c r="BO71" s="175"/>
      <c r="BP71" s="12"/>
      <c r="BQ71" s="183"/>
      <c r="BR71" s="12"/>
      <c r="BS71" s="176"/>
      <c r="BT71" s="176"/>
      <c r="BU71" s="176"/>
      <c r="BV71" s="176"/>
      <c r="BW71" s="175"/>
      <c r="BY71" s="183"/>
      <c r="BZ71" s="12"/>
      <c r="CA71" s="176"/>
      <c r="CB71" s="176"/>
      <c r="CC71" s="176"/>
      <c r="CD71" s="176"/>
      <c r="CE71" s="175"/>
      <c r="CG71" s="192"/>
      <c r="CI71" s="178"/>
      <c r="CJ71" s="178"/>
      <c r="CK71" s="178"/>
      <c r="CL71" s="178"/>
      <c r="CM71" s="175"/>
      <c r="CO71" s="192"/>
      <c r="CQ71" s="178"/>
      <c r="CR71" s="178"/>
      <c r="CS71" s="178"/>
      <c r="CT71" s="178"/>
      <c r="CU71" s="175"/>
    </row>
    <row r="72" spans="1:99" ht="20.100000000000001" hidden="1" customHeight="1">
      <c r="A72" s="192"/>
      <c r="B72" s="6"/>
      <c r="C72" s="4"/>
      <c r="F72" s="176"/>
      <c r="G72" s="176"/>
      <c r="H72" s="176"/>
      <c r="I72" s="176"/>
      <c r="J72" s="175"/>
      <c r="K72" s="175"/>
      <c r="L72" s="175"/>
      <c r="M72" s="175"/>
      <c r="N72" s="175"/>
      <c r="O72" s="175"/>
      <c r="P72" s="175"/>
      <c r="Q72" s="175"/>
      <c r="R72" s="192"/>
      <c r="T72" s="82"/>
      <c r="U72" s="82"/>
      <c r="V72" s="175"/>
      <c r="W72" s="175"/>
      <c r="X72" s="183"/>
      <c r="Y72" s="175"/>
      <c r="Z72" s="175" t="s">
        <v>140</v>
      </c>
      <c r="AA72" s="189" t="str">
        <f>IF(T68="","",$V$11)</f>
        <v/>
      </c>
      <c r="AB72" s="189"/>
      <c r="AC72" s="189"/>
      <c r="AD72" s="175" t="s">
        <v>134</v>
      </c>
      <c r="AF72" s="183"/>
      <c r="AH72" s="188">
        <f>IF(AA72="",0,MAX(ROUNDDOWN((F68-$AP$9)*AA72/100,-2),0,0))</f>
        <v>0</v>
      </c>
      <c r="AI72" s="188"/>
      <c r="AJ72" s="188"/>
      <c r="AK72" s="188"/>
      <c r="AL72" s="175" t="s">
        <v>4</v>
      </c>
      <c r="AN72" s="192"/>
      <c r="AP72" s="188">
        <f>IF(T68="",0,IF($AZ$11&lt;=AH72,$AZ$11-CI72,IF(AH72&lt;$AZ$11,MIN(AH72,$AZ$11-CI72),0)))</f>
        <v>0</v>
      </c>
      <c r="AQ72" s="188"/>
      <c r="AR72" s="188"/>
      <c r="AS72" s="188"/>
      <c r="AT72" s="175" t="s">
        <v>4</v>
      </c>
      <c r="AU72" s="175"/>
      <c r="AV72" s="183"/>
      <c r="AW72" s="175"/>
      <c r="AX72" s="184">
        <f>$BM$11</f>
        <v>15700</v>
      </c>
      <c r="AY72" s="184"/>
      <c r="AZ72" s="184"/>
      <c r="BA72" s="184"/>
      <c r="BB72" s="175" t="s">
        <v>4</v>
      </c>
      <c r="BC72" s="175"/>
      <c r="BD72" s="12"/>
      <c r="BE72" s="175"/>
      <c r="BF72" s="12"/>
      <c r="BG72" s="12"/>
      <c r="BH72" s="12"/>
      <c r="BI72" s="183"/>
      <c r="BJ72" s="12"/>
      <c r="BK72" s="184" t="str">
        <f>IF(T68="","",IF(T68&lt;6,ROUNDDOWN(AX72*(1-$BF$23)*0.5,-2),IF(AND(6&lt;=T68+1,T68+1&lt;=18),0,0)))</f>
        <v/>
      </c>
      <c r="BL72" s="184"/>
      <c r="BM72" s="184"/>
      <c r="BN72" s="184"/>
      <c r="BO72" s="175" t="s">
        <v>4</v>
      </c>
      <c r="BP72" s="12"/>
      <c r="BQ72" s="183"/>
      <c r="BR72" s="12"/>
      <c r="BS72" s="184">
        <f>IF(T68="",0,IF(T68&lt;6,0,IF(AND(5&lt;T68+1,T68+1&lt;=18),ROUNDDOWN(AX72*(1-$BF$23)*0.8,-2),0)))</f>
        <v>0</v>
      </c>
      <c r="BT72" s="184"/>
      <c r="BU72" s="184"/>
      <c r="BV72" s="184"/>
      <c r="BW72" s="175" t="s">
        <v>4</v>
      </c>
      <c r="BY72" s="183"/>
      <c r="BZ72" s="12"/>
      <c r="CA72" s="184">
        <f>IF(BS72=0,0,AX72-BS72)</f>
        <v>0</v>
      </c>
      <c r="CB72" s="184"/>
      <c r="CC72" s="184"/>
      <c r="CD72" s="184"/>
      <c r="CE72" s="175" t="s">
        <v>4</v>
      </c>
      <c r="CG72" s="192"/>
      <c r="CI72" s="188">
        <f>IF(T68="",0,IF(T68&lt;6,BK72,IF(AND(6&lt;=T68+1,T68+1&lt;=18),BS72,ROUNDDOWN(AX72*(1-$BF$23),-2))))</f>
        <v>0</v>
      </c>
      <c r="CJ72" s="188"/>
      <c r="CK72" s="188"/>
      <c r="CL72" s="188"/>
      <c r="CM72" s="175" t="s">
        <v>4</v>
      </c>
      <c r="CO72" s="192"/>
      <c r="CQ72" s="188">
        <f>IF(CI72="","",AP72+CI72)</f>
        <v>0</v>
      </c>
      <c r="CR72" s="188"/>
      <c r="CS72" s="188"/>
      <c r="CT72" s="188"/>
      <c r="CU72" s="175" t="s">
        <v>4</v>
      </c>
    </row>
    <row r="73" spans="1:99" ht="6" hidden="1" customHeight="1">
      <c r="A73" s="192"/>
      <c r="B73" s="6"/>
      <c r="C73" s="4"/>
      <c r="F73" s="176"/>
      <c r="G73" s="176"/>
      <c r="H73" s="176"/>
      <c r="I73" s="176"/>
      <c r="J73" s="175"/>
      <c r="K73" s="175"/>
      <c r="L73" s="175"/>
      <c r="M73" s="175"/>
      <c r="N73" s="175"/>
      <c r="O73" s="175"/>
      <c r="P73" s="175"/>
      <c r="Q73" s="175"/>
      <c r="R73" s="192"/>
      <c r="T73" s="82"/>
      <c r="U73" s="82"/>
      <c r="V73" s="175"/>
      <c r="W73" s="175"/>
      <c r="X73" s="183"/>
      <c r="Y73" s="175"/>
      <c r="Z73" s="175"/>
      <c r="AA73" s="177"/>
      <c r="AB73" s="177"/>
      <c r="AC73" s="177"/>
      <c r="AD73" s="175"/>
      <c r="AF73" s="183"/>
      <c r="AH73" s="178"/>
      <c r="AI73" s="178"/>
      <c r="AJ73" s="178"/>
      <c r="AK73" s="178"/>
      <c r="AL73" s="175"/>
      <c r="AN73" s="192"/>
      <c r="AP73" s="178"/>
      <c r="AQ73" s="178"/>
      <c r="AR73" s="178"/>
      <c r="AS73" s="178"/>
      <c r="AT73" s="175"/>
      <c r="AU73" s="175"/>
      <c r="AV73" s="183"/>
      <c r="AW73" s="175"/>
      <c r="AX73" s="176"/>
      <c r="AY73" s="176"/>
      <c r="AZ73" s="176"/>
      <c r="BA73" s="176"/>
      <c r="BB73" s="175"/>
      <c r="BC73" s="175"/>
      <c r="BD73" s="12"/>
      <c r="BE73" s="175"/>
      <c r="BF73" s="12"/>
      <c r="BG73" s="12"/>
      <c r="BH73" s="12"/>
      <c r="BI73" s="183"/>
      <c r="BJ73" s="12"/>
      <c r="BK73" s="176"/>
      <c r="BL73" s="176"/>
      <c r="BM73" s="176"/>
      <c r="BN73" s="176"/>
      <c r="BO73" s="175"/>
      <c r="BP73" s="12"/>
      <c r="BQ73" s="183"/>
      <c r="BR73" s="12"/>
      <c r="BS73" s="176"/>
      <c r="BT73" s="176"/>
      <c r="BU73" s="176"/>
      <c r="BV73" s="176"/>
      <c r="BW73" s="175"/>
      <c r="BY73" s="183"/>
      <c r="BZ73" s="12"/>
      <c r="CA73" s="176"/>
      <c r="CB73" s="176"/>
      <c r="CC73" s="176"/>
      <c r="CD73" s="176"/>
      <c r="CE73" s="175"/>
      <c r="CG73" s="192"/>
      <c r="CI73" s="178"/>
      <c r="CJ73" s="178"/>
      <c r="CK73" s="178"/>
      <c r="CL73" s="178"/>
      <c r="CM73" s="175"/>
      <c r="CO73" s="192"/>
      <c r="CQ73" s="178"/>
      <c r="CR73" s="178"/>
      <c r="CS73" s="178"/>
      <c r="CT73" s="178"/>
      <c r="CU73" s="175"/>
    </row>
    <row r="74" spans="1:99" ht="20.100000000000001" hidden="1" customHeight="1">
      <c r="A74" s="192"/>
      <c r="B74" s="6"/>
      <c r="C74" s="4"/>
      <c r="F74" s="176"/>
      <c r="G74" s="176"/>
      <c r="H74" s="176"/>
      <c r="I74" s="176"/>
      <c r="J74" s="175"/>
      <c r="K74" s="175"/>
      <c r="L74" s="175"/>
      <c r="M74" s="175"/>
      <c r="N74" s="175"/>
      <c r="O74" s="175"/>
      <c r="P74" s="175"/>
      <c r="Q74" s="175"/>
      <c r="R74" s="192"/>
      <c r="T74" s="82"/>
      <c r="U74" s="82"/>
      <c r="V74" s="175"/>
      <c r="W74" s="175"/>
      <c r="X74" s="183"/>
      <c r="Y74" s="175"/>
      <c r="Z74" s="175" t="s">
        <v>141</v>
      </c>
      <c r="AA74" s="189" t="str">
        <f>IF(T68="","",IF(AND(39&lt;T68+1,T68&lt;65),$V$13,""))</f>
        <v/>
      </c>
      <c r="AB74" s="189"/>
      <c r="AC74" s="189"/>
      <c r="AD74" s="175" t="s">
        <v>134</v>
      </c>
      <c r="AF74" s="183"/>
      <c r="AH74" s="188">
        <f>IF(AA74="",0,MAX(ROUNDDOWN((F68-$AP$9)*AA74/100,-2),0,0))</f>
        <v>0</v>
      </c>
      <c r="AI74" s="188"/>
      <c r="AJ74" s="188"/>
      <c r="AK74" s="188"/>
      <c r="AL74" s="175" t="s">
        <v>4</v>
      </c>
      <c r="AN74" s="192"/>
      <c r="AP74" s="188">
        <f>IF(T68="",0,IF($AZ$13&lt;=AH74,$AZ$13-CI74,IF(AH74&lt;$AZ$13,MIN(AH74,$AZ$13-CI74),0)))</f>
        <v>0</v>
      </c>
      <c r="AQ74" s="188"/>
      <c r="AR74" s="188"/>
      <c r="AS74" s="188"/>
      <c r="AT74" s="175" t="s">
        <v>4</v>
      </c>
      <c r="AU74" s="175"/>
      <c r="AV74" s="183"/>
      <c r="AW74" s="175"/>
      <c r="AX74" s="184">
        <f>IF(T68="",0,IF(AND(39&lt;T68+1,T68&lt;65),13600,0))</f>
        <v>0</v>
      </c>
      <c r="AY74" s="184"/>
      <c r="AZ74" s="184"/>
      <c r="BA74" s="184"/>
      <c r="BB74" s="175" t="s">
        <v>4</v>
      </c>
      <c r="BC74" s="175"/>
      <c r="BD74" s="12"/>
      <c r="BE74" s="175"/>
      <c r="BF74" s="12"/>
      <c r="BG74" s="12"/>
      <c r="BH74" s="12"/>
      <c r="BI74" s="183"/>
      <c r="BJ74" s="12"/>
      <c r="BK74" s="184" t="str">
        <f>IF(T68="","",IF(T68&lt;6,ROUNDDOWN(AX74*(1-$BF$23)*0.5,-2),IF(AND(6&lt;=T68+1,T68+1&lt;=18),0,0)))</f>
        <v/>
      </c>
      <c r="BL74" s="184"/>
      <c r="BM74" s="184"/>
      <c r="BN74" s="184"/>
      <c r="BO74" s="175" t="s">
        <v>4</v>
      </c>
      <c r="BP74" s="12"/>
      <c r="BQ74" s="183"/>
      <c r="BR74" s="12"/>
      <c r="BS74" s="184">
        <f>IF(T68="",0,IF(T68&lt;6,0,IF(AND(5&lt;T68+1,T68+1&lt;=18),ROUNDDOWN(AX74*(1-$BF$23)*0.8,-2),0)))</f>
        <v>0</v>
      </c>
      <c r="BT74" s="184"/>
      <c r="BU74" s="184"/>
      <c r="BV74" s="184"/>
      <c r="BW74" s="175" t="s">
        <v>4</v>
      </c>
      <c r="BY74" s="183"/>
      <c r="BZ74" s="12"/>
      <c r="CA74" s="184">
        <f>IF(BS74=0,0,AX74-BS74)</f>
        <v>0</v>
      </c>
      <c r="CB74" s="184"/>
      <c r="CC74" s="184"/>
      <c r="CD74" s="184"/>
      <c r="CE74" s="175" t="s">
        <v>4</v>
      </c>
      <c r="CG74" s="192"/>
      <c r="CI74" s="188">
        <f>IF(T68="",0,IF(T68&lt;6,BK74,IF(AND(6&lt;=T68+1,T68+1&lt;=18),BS74,ROUNDDOWN(AX74*(1-$BF$23),-2))))</f>
        <v>0</v>
      </c>
      <c r="CJ74" s="188"/>
      <c r="CK74" s="188"/>
      <c r="CL74" s="188"/>
      <c r="CM74" s="175" t="s">
        <v>4</v>
      </c>
      <c r="CO74" s="192"/>
      <c r="CQ74" s="188">
        <f>IF(CI74="","",AP74+CI74)</f>
        <v>0</v>
      </c>
      <c r="CR74" s="188"/>
      <c r="CS74" s="188"/>
      <c r="CT74" s="188"/>
      <c r="CU74" s="175" t="s">
        <v>4</v>
      </c>
    </row>
    <row r="75" spans="1:99" ht="6" customHeight="1">
      <c r="A75" s="192"/>
      <c r="B75" s="6"/>
      <c r="C75" s="8"/>
      <c r="D75" s="8"/>
      <c r="E75" s="8"/>
      <c r="F75" s="8"/>
      <c r="G75" s="8"/>
      <c r="H75" s="8"/>
      <c r="I75" s="8"/>
      <c r="J75" s="8"/>
      <c r="K75" s="9"/>
      <c r="L75" s="9"/>
      <c r="M75" s="9"/>
      <c r="N75" s="9"/>
      <c r="O75" s="9"/>
      <c r="P75" s="9"/>
      <c r="Q75" s="9"/>
      <c r="R75" s="192"/>
      <c r="T75" s="8"/>
      <c r="U75" s="8"/>
      <c r="V75" s="8"/>
      <c r="X75" s="183"/>
      <c r="Z75" s="8"/>
      <c r="AA75" s="8"/>
      <c r="AB75" s="8"/>
      <c r="AC75" s="8"/>
      <c r="AD75" s="8"/>
      <c r="AF75" s="183"/>
      <c r="AH75" s="8"/>
      <c r="AI75" s="8"/>
      <c r="AJ75" s="8"/>
      <c r="AK75" s="8"/>
      <c r="AL75" s="8"/>
      <c r="AN75" s="192"/>
      <c r="AP75" s="11"/>
      <c r="AQ75" s="11"/>
      <c r="AR75" s="11"/>
      <c r="AS75" s="11"/>
      <c r="AT75" s="8"/>
      <c r="AV75" s="183"/>
      <c r="AX75" s="11"/>
      <c r="AY75" s="11"/>
      <c r="AZ75" s="11"/>
      <c r="BA75" s="11"/>
      <c r="BB75" s="8"/>
      <c r="BD75" s="12"/>
      <c r="BF75" s="12"/>
      <c r="BG75" s="12"/>
      <c r="BH75" s="12"/>
      <c r="BI75" s="183"/>
      <c r="BJ75" s="12"/>
      <c r="BK75" s="11"/>
      <c r="BL75" s="11"/>
      <c r="BM75" s="11"/>
      <c r="BN75" s="11"/>
      <c r="BO75" s="8"/>
      <c r="BP75" s="12"/>
      <c r="BQ75" s="183"/>
      <c r="BR75" s="12"/>
      <c r="BS75" s="11"/>
      <c r="BT75" s="11"/>
      <c r="BU75" s="11"/>
      <c r="BV75" s="11"/>
      <c r="BW75" s="8"/>
      <c r="BY75" s="183"/>
      <c r="BZ75" s="12"/>
      <c r="CA75" s="11"/>
      <c r="CB75" s="11"/>
      <c r="CC75" s="11"/>
      <c r="CD75" s="11"/>
      <c r="CE75" s="8"/>
      <c r="CG75" s="192"/>
      <c r="CI75" s="11"/>
      <c r="CJ75" s="11"/>
      <c r="CK75" s="11"/>
      <c r="CL75" s="11"/>
      <c r="CM75" s="8"/>
      <c r="CO75" s="192"/>
      <c r="CQ75" s="11"/>
      <c r="CR75" s="11"/>
      <c r="CS75" s="11"/>
      <c r="CT75" s="11"/>
      <c r="CU75" s="8"/>
    </row>
    <row r="76" spans="1:99" ht="6" customHeight="1">
      <c r="A76" s="192"/>
      <c r="B76" s="6"/>
      <c r="C76" s="10"/>
      <c r="D76" s="10"/>
      <c r="E76" s="10"/>
      <c r="F76" s="10"/>
      <c r="G76" s="10"/>
      <c r="H76" s="10"/>
      <c r="I76" s="10"/>
      <c r="J76" s="10"/>
      <c r="K76" s="9"/>
      <c r="L76" s="9"/>
      <c r="M76" s="9"/>
      <c r="N76" s="9"/>
      <c r="O76" s="9"/>
      <c r="P76" s="9"/>
      <c r="Q76" s="9"/>
      <c r="R76" s="192"/>
      <c r="T76" s="10"/>
      <c r="U76" s="10"/>
      <c r="V76" s="10"/>
      <c r="X76" s="183"/>
      <c r="Z76" s="10"/>
      <c r="AA76" s="10"/>
      <c r="AB76" s="10"/>
      <c r="AC76" s="10"/>
      <c r="AD76" s="10"/>
      <c r="AF76" s="183"/>
      <c r="AH76" s="10"/>
      <c r="AI76" s="10"/>
      <c r="AJ76" s="10"/>
      <c r="AK76" s="10"/>
      <c r="AL76" s="10"/>
      <c r="AN76" s="192"/>
      <c r="AP76" s="13"/>
      <c r="AQ76" s="13"/>
      <c r="AR76" s="13"/>
      <c r="AS76" s="13"/>
      <c r="AT76" s="10"/>
      <c r="AV76" s="183"/>
      <c r="AX76" s="13"/>
      <c r="AY76" s="13"/>
      <c r="AZ76" s="13"/>
      <c r="BA76" s="13"/>
      <c r="BB76" s="10"/>
      <c r="BD76" s="12"/>
      <c r="BF76" s="12"/>
      <c r="BG76" s="12"/>
      <c r="BH76" s="12"/>
      <c r="BI76" s="183"/>
      <c r="BJ76" s="12"/>
      <c r="BK76" s="13"/>
      <c r="BL76" s="13"/>
      <c r="BM76" s="13"/>
      <c r="BN76" s="13"/>
      <c r="BO76" s="10"/>
      <c r="BP76" s="12"/>
      <c r="BQ76" s="183"/>
      <c r="BR76" s="12"/>
      <c r="BS76" s="13"/>
      <c r="BT76" s="13"/>
      <c r="BU76" s="13"/>
      <c r="BV76" s="13"/>
      <c r="BW76" s="10"/>
      <c r="BY76" s="183"/>
      <c r="BZ76" s="12"/>
      <c r="CA76" s="13"/>
      <c r="CB76" s="13"/>
      <c r="CC76" s="13"/>
      <c r="CD76" s="13"/>
      <c r="CE76" s="10"/>
      <c r="CG76" s="192"/>
      <c r="CI76" s="13"/>
      <c r="CJ76" s="13"/>
      <c r="CK76" s="13"/>
      <c r="CL76" s="13"/>
      <c r="CM76" s="10"/>
      <c r="CO76" s="192"/>
      <c r="CQ76" s="13"/>
      <c r="CR76" s="13"/>
      <c r="CS76" s="13"/>
      <c r="CT76" s="13"/>
      <c r="CU76" s="10"/>
    </row>
    <row r="77" spans="1:99" ht="20.100000000000001" customHeight="1">
      <c r="C77" s="4" t="s">
        <v>8</v>
      </c>
      <c r="F77" s="188">
        <f>IF(F23="","",SUM(F23:I68))</f>
        <v>3500000</v>
      </c>
      <c r="G77" s="188"/>
      <c r="H77" s="188"/>
      <c r="I77" s="188"/>
      <c r="J77" s="175" t="s">
        <v>4</v>
      </c>
      <c r="K77" s="175"/>
      <c r="L77" s="190" t="str">
        <f>IF(AND(CQ7=0,890000&lt;=CQ9),"限度額超過",IF(AND(CQ9=0,1060000&lt;=CQ7),"限度額超過",""))</f>
        <v/>
      </c>
      <c r="M77" s="190"/>
      <c r="N77" s="190"/>
      <c r="O77" s="190"/>
      <c r="P77" s="190"/>
      <c r="Q77" s="190"/>
      <c r="R77" s="15" t="s">
        <v>23</v>
      </c>
    </row>
    <row r="78" spans="1:99" ht="6.95" customHeight="1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CK78" s="86"/>
      <c r="CL78" s="86"/>
      <c r="CM78" s="86"/>
      <c r="CN78" s="86"/>
      <c r="CO78" s="86"/>
    </row>
    <row r="79" spans="1:99" ht="20.100000000000001" customHeight="1">
      <c r="A79" s="197" t="s">
        <v>162</v>
      </c>
      <c r="B79" s="197"/>
      <c r="C79" s="197"/>
      <c r="D79" s="197"/>
      <c r="E79" s="197"/>
      <c r="F79" s="91" t="s">
        <v>163</v>
      </c>
      <c r="G79" s="4" t="s">
        <v>168</v>
      </c>
      <c r="CL79" s="86"/>
      <c r="CM79" s="86"/>
      <c r="CN79" s="86"/>
      <c r="CO79" s="86"/>
    </row>
    <row r="80" spans="1:99" ht="20.100000000000001" customHeight="1">
      <c r="A80" s="197"/>
      <c r="B80" s="197"/>
      <c r="C80" s="197"/>
      <c r="D80" s="197"/>
      <c r="E80" s="197"/>
      <c r="F80" s="91" t="s">
        <v>163</v>
      </c>
      <c r="G80" s="4" t="s">
        <v>164</v>
      </c>
    </row>
    <row r="81" spans="1:7" ht="20.100000000000001" customHeight="1">
      <c r="A81" s="197"/>
      <c r="B81" s="197"/>
      <c r="C81" s="197"/>
      <c r="D81" s="197"/>
      <c r="E81" s="197"/>
      <c r="F81" s="91" t="s">
        <v>163</v>
      </c>
      <c r="G81" s="4" t="s">
        <v>165</v>
      </c>
    </row>
  </sheetData>
  <sheetProtection algorithmName="SHA-512" hashValue="s+Yd1hkxeUkrEHiQp5NcfECDhQ3m2VDz0TRMi9DscwNcihL1dY176hqkvqEDXuC0S9HRGTgK+36nN1g9pwRszQ==" saltValue="1HAwFtgz+qa1tIPRb3cjyA==" spinCount="100000" sheet="1" selectLockedCells="1"/>
  <mergeCells count="291">
    <mergeCell ref="A2:CU2"/>
    <mergeCell ref="AR4:AS4"/>
    <mergeCell ref="CI4:CL4"/>
    <mergeCell ref="CQ4:CT4"/>
    <mergeCell ref="CQ7:CT7"/>
    <mergeCell ref="A9:A13"/>
    <mergeCell ref="E9:H9"/>
    <mergeCell ref="R9:R13"/>
    <mergeCell ref="T9:U9"/>
    <mergeCell ref="V9:Y9"/>
    <mergeCell ref="BK9:BL9"/>
    <mergeCell ref="BM9:BP9"/>
    <mergeCell ref="CQ9:CT9"/>
    <mergeCell ref="E11:H11"/>
    <mergeCell ref="K11:N11"/>
    <mergeCell ref="T11:U11"/>
    <mergeCell ref="V11:Y11"/>
    <mergeCell ref="AX11:AY11"/>
    <mergeCell ref="AZ11:BC11"/>
    <mergeCell ref="BK11:BL11"/>
    <mergeCell ref="AN9:AN13"/>
    <mergeCell ref="AP9:AS9"/>
    <mergeCell ref="AV9:AV17"/>
    <mergeCell ref="AX9:AY9"/>
    <mergeCell ref="AZ9:BC9"/>
    <mergeCell ref="BI9:BI13"/>
    <mergeCell ref="AX15:AY15"/>
    <mergeCell ref="AZ15:BC15"/>
    <mergeCell ref="D17:E17"/>
    <mergeCell ref="H17:I17"/>
    <mergeCell ref="AX17:AY17"/>
    <mergeCell ref="AZ17:BC17"/>
    <mergeCell ref="D19:E19"/>
    <mergeCell ref="BM11:BP11"/>
    <mergeCell ref="E13:H13"/>
    <mergeCell ref="K13:N13"/>
    <mergeCell ref="T13:U13"/>
    <mergeCell ref="V13:Y13"/>
    <mergeCell ref="AX13:AY13"/>
    <mergeCell ref="AZ13:BC13"/>
    <mergeCell ref="BK13:BL13"/>
    <mergeCell ref="BM13:BP13"/>
    <mergeCell ref="H19:I19"/>
    <mergeCell ref="A21:A76"/>
    <mergeCell ref="R21:R76"/>
    <mergeCell ref="X21:X76"/>
    <mergeCell ref="AF21:AF76"/>
    <mergeCell ref="AN21:AN76"/>
    <mergeCell ref="F23:I23"/>
    <mergeCell ref="T23:U23"/>
    <mergeCell ref="AA23:AC23"/>
    <mergeCell ref="AH23:AK23"/>
    <mergeCell ref="A15:A19"/>
    <mergeCell ref="D15:E15"/>
    <mergeCell ref="H15:I15"/>
    <mergeCell ref="CQ23:CT23"/>
    <mergeCell ref="AA25:AC25"/>
    <mergeCell ref="AH25:AK25"/>
    <mergeCell ref="AP25:AS25"/>
    <mergeCell ref="AX25:BA25"/>
    <mergeCell ref="BK25:BN25"/>
    <mergeCell ref="BS25:BV25"/>
    <mergeCell ref="CA25:CD25"/>
    <mergeCell ref="CI25:CL25"/>
    <mergeCell ref="CQ25:CT25"/>
    <mergeCell ref="AP23:AS23"/>
    <mergeCell ref="AX23:BA23"/>
    <mergeCell ref="BF23:BG23"/>
    <mergeCell ref="BK23:BN23"/>
    <mergeCell ref="BS23:BV23"/>
    <mergeCell ref="CA23:CD23"/>
    <mergeCell ref="AV21:AV76"/>
    <mergeCell ref="BI21:BI76"/>
    <mergeCell ref="BQ21:BQ76"/>
    <mergeCell ref="BY21:BY76"/>
    <mergeCell ref="CG21:CG76"/>
    <mergeCell ref="CO21:CO76"/>
    <mergeCell ref="CI23:CL23"/>
    <mergeCell ref="CA27:CD27"/>
    <mergeCell ref="F32:I32"/>
    <mergeCell ref="L32:O32"/>
    <mergeCell ref="T32:U32"/>
    <mergeCell ref="AA32:AC32"/>
    <mergeCell ref="AH32:AK32"/>
    <mergeCell ref="AP32:AS32"/>
    <mergeCell ref="CQ27:CT27"/>
    <mergeCell ref="AA29:AC29"/>
    <mergeCell ref="AH29:AK29"/>
    <mergeCell ref="AP29:AS29"/>
    <mergeCell ref="AX29:BA29"/>
    <mergeCell ref="BK29:BN29"/>
    <mergeCell ref="BS29:BV29"/>
    <mergeCell ref="CA29:CD29"/>
    <mergeCell ref="CI29:CL29"/>
    <mergeCell ref="CQ29:CT29"/>
    <mergeCell ref="AA27:AC27"/>
    <mergeCell ref="AH27:AK27"/>
    <mergeCell ref="AP27:AS27"/>
    <mergeCell ref="AX27:BA27"/>
    <mergeCell ref="BK27:BN27"/>
    <mergeCell ref="BS27:BV27"/>
    <mergeCell ref="CI27:CL27"/>
    <mergeCell ref="AX32:BA32"/>
    <mergeCell ref="BK32:BN32"/>
    <mergeCell ref="BS32:BV32"/>
    <mergeCell ref="CA32:CD32"/>
    <mergeCell ref="CI32:CL32"/>
    <mergeCell ref="CQ32:CT32"/>
    <mergeCell ref="AA34:AC34"/>
    <mergeCell ref="AH34:AK34"/>
    <mergeCell ref="AP34:AS34"/>
    <mergeCell ref="AX34:BA34"/>
    <mergeCell ref="BK34:BN34"/>
    <mergeCell ref="BS34:BV34"/>
    <mergeCell ref="CA34:CD34"/>
    <mergeCell ref="CI34:CL34"/>
    <mergeCell ref="CQ34:CT34"/>
    <mergeCell ref="AA36:AC36"/>
    <mergeCell ref="AH36:AK36"/>
    <mergeCell ref="AP36:AS36"/>
    <mergeCell ref="AX36:BA36"/>
    <mergeCell ref="BK36:BN36"/>
    <mergeCell ref="BS36:BV36"/>
    <mergeCell ref="CA36:CD36"/>
    <mergeCell ref="CI36:CL36"/>
    <mergeCell ref="CQ36:CT36"/>
    <mergeCell ref="AA38:AC38"/>
    <mergeCell ref="AH38:AK38"/>
    <mergeCell ref="AP38:AS38"/>
    <mergeCell ref="AX38:BA38"/>
    <mergeCell ref="BK38:BN38"/>
    <mergeCell ref="BS38:BV38"/>
    <mergeCell ref="CA38:CD38"/>
    <mergeCell ref="CI38:CL38"/>
    <mergeCell ref="CQ38:CT38"/>
    <mergeCell ref="F41:I41"/>
    <mergeCell ref="T41:U41"/>
    <mergeCell ref="AA41:AC41"/>
    <mergeCell ref="AH41:AK41"/>
    <mergeCell ref="AP41:AS41"/>
    <mergeCell ref="AX41:BA41"/>
    <mergeCell ref="BK41:BN41"/>
    <mergeCell ref="BS41:BV41"/>
    <mergeCell ref="CA41:CD41"/>
    <mergeCell ref="CI41:CL41"/>
    <mergeCell ref="CQ41:CT41"/>
    <mergeCell ref="AA43:AC43"/>
    <mergeCell ref="AH43:AK43"/>
    <mergeCell ref="AP43:AS43"/>
    <mergeCell ref="AX43:BA43"/>
    <mergeCell ref="BK43:BN43"/>
    <mergeCell ref="BS43:BV43"/>
    <mergeCell ref="CA43:CD43"/>
    <mergeCell ref="CI43:CL43"/>
    <mergeCell ref="CQ43:CT43"/>
    <mergeCell ref="AA45:AC45"/>
    <mergeCell ref="AH45:AK45"/>
    <mergeCell ref="AP45:AS45"/>
    <mergeCell ref="AX45:BA45"/>
    <mergeCell ref="BK45:BN45"/>
    <mergeCell ref="BS45:BV45"/>
    <mergeCell ref="CA45:CD45"/>
    <mergeCell ref="CI45:CL45"/>
    <mergeCell ref="F50:I50"/>
    <mergeCell ref="T50:U50"/>
    <mergeCell ref="AA50:AC50"/>
    <mergeCell ref="AH50:AK50"/>
    <mergeCell ref="AP50:AS50"/>
    <mergeCell ref="AX50:BA50"/>
    <mergeCell ref="CQ45:CT45"/>
    <mergeCell ref="AA47:AC47"/>
    <mergeCell ref="AH47:AK47"/>
    <mergeCell ref="AP47:AS47"/>
    <mergeCell ref="AX47:BA47"/>
    <mergeCell ref="BK47:BN47"/>
    <mergeCell ref="BS47:BV47"/>
    <mergeCell ref="CA47:CD47"/>
    <mergeCell ref="CI47:CL47"/>
    <mergeCell ref="CQ47:CT47"/>
    <mergeCell ref="BK50:BN50"/>
    <mergeCell ref="BS50:BV50"/>
    <mergeCell ref="CA50:CD50"/>
    <mergeCell ref="CI50:CL50"/>
    <mergeCell ref="CQ50:CT50"/>
    <mergeCell ref="AA52:AC52"/>
    <mergeCell ref="AH52:AK52"/>
    <mergeCell ref="AP52:AS52"/>
    <mergeCell ref="AX52:BA52"/>
    <mergeCell ref="BK52:BN52"/>
    <mergeCell ref="BS52:BV52"/>
    <mergeCell ref="CA52:CD52"/>
    <mergeCell ref="CI52:CL52"/>
    <mergeCell ref="CQ52:CT52"/>
    <mergeCell ref="AA54:AC54"/>
    <mergeCell ref="AH54:AK54"/>
    <mergeCell ref="AP54:AS54"/>
    <mergeCell ref="AX54:BA54"/>
    <mergeCell ref="BK54:BN54"/>
    <mergeCell ref="BS54:BV54"/>
    <mergeCell ref="CA54:CD54"/>
    <mergeCell ref="CI54:CL54"/>
    <mergeCell ref="CQ54:CT54"/>
    <mergeCell ref="AA56:AC56"/>
    <mergeCell ref="AH56:AK56"/>
    <mergeCell ref="AP56:AS56"/>
    <mergeCell ref="AX56:BA56"/>
    <mergeCell ref="BK56:BN56"/>
    <mergeCell ref="BS56:BV56"/>
    <mergeCell ref="CA56:CD56"/>
    <mergeCell ref="CI56:CL56"/>
    <mergeCell ref="CQ56:CT56"/>
    <mergeCell ref="F59:I59"/>
    <mergeCell ref="T59:U59"/>
    <mergeCell ref="AA59:AC59"/>
    <mergeCell ref="AH59:AK59"/>
    <mergeCell ref="AP59:AS59"/>
    <mergeCell ref="AX59:BA59"/>
    <mergeCell ref="BK59:BN59"/>
    <mergeCell ref="BS59:BV59"/>
    <mergeCell ref="CA59:CD59"/>
    <mergeCell ref="CI59:CL59"/>
    <mergeCell ref="CQ59:CT59"/>
    <mergeCell ref="AA61:AC61"/>
    <mergeCell ref="AH61:AK61"/>
    <mergeCell ref="AP61:AS61"/>
    <mergeCell ref="AX61:BA61"/>
    <mergeCell ref="BK61:BN61"/>
    <mergeCell ref="BS61:BV61"/>
    <mergeCell ref="CA61:CD61"/>
    <mergeCell ref="CI61:CL61"/>
    <mergeCell ref="CQ61:CT61"/>
    <mergeCell ref="AA63:AC63"/>
    <mergeCell ref="AH63:AK63"/>
    <mergeCell ref="AP63:AS63"/>
    <mergeCell ref="AX63:BA63"/>
    <mergeCell ref="BK63:BN63"/>
    <mergeCell ref="BS63:BV63"/>
    <mergeCell ref="CA63:CD63"/>
    <mergeCell ref="CI63:CL63"/>
    <mergeCell ref="F68:I68"/>
    <mergeCell ref="T68:U68"/>
    <mergeCell ref="AA68:AC68"/>
    <mergeCell ref="AH68:AK68"/>
    <mergeCell ref="AP68:AS68"/>
    <mergeCell ref="AX68:BA68"/>
    <mergeCell ref="CQ63:CT63"/>
    <mergeCell ref="AA65:AC65"/>
    <mergeCell ref="AH65:AK65"/>
    <mergeCell ref="AP65:AS65"/>
    <mergeCell ref="AX65:BA65"/>
    <mergeCell ref="BK65:BN65"/>
    <mergeCell ref="BS65:BV65"/>
    <mergeCell ref="CA65:CD65"/>
    <mergeCell ref="CI65:CL65"/>
    <mergeCell ref="CQ65:CT65"/>
    <mergeCell ref="BK68:BN68"/>
    <mergeCell ref="BS68:BV68"/>
    <mergeCell ref="CA68:CD68"/>
    <mergeCell ref="CI68:CL68"/>
    <mergeCell ref="CQ68:CT68"/>
    <mergeCell ref="AA70:AC70"/>
    <mergeCell ref="AH70:AK70"/>
    <mergeCell ref="AP70:AS70"/>
    <mergeCell ref="AX70:BA70"/>
    <mergeCell ref="BK70:BN70"/>
    <mergeCell ref="BS70:BV70"/>
    <mergeCell ref="CA70:CD70"/>
    <mergeCell ref="CI70:CL70"/>
    <mergeCell ref="CQ70:CT70"/>
    <mergeCell ref="AA72:AC72"/>
    <mergeCell ref="AH72:AK72"/>
    <mergeCell ref="AP72:AS72"/>
    <mergeCell ref="AX72:BA72"/>
    <mergeCell ref="BK72:BN72"/>
    <mergeCell ref="BS72:BV72"/>
    <mergeCell ref="CI74:CL74"/>
    <mergeCell ref="CQ74:CT74"/>
    <mergeCell ref="F77:I77"/>
    <mergeCell ref="L77:Q77"/>
    <mergeCell ref="A78:Q78"/>
    <mergeCell ref="A79:E81"/>
    <mergeCell ref="CA72:CD72"/>
    <mergeCell ref="CI72:CL72"/>
    <mergeCell ref="CQ72:CT72"/>
    <mergeCell ref="AA74:AC74"/>
    <mergeCell ref="AH74:AK74"/>
    <mergeCell ref="AP74:AS74"/>
    <mergeCell ref="AX74:BA74"/>
    <mergeCell ref="BK74:BN74"/>
    <mergeCell ref="BS74:BV74"/>
    <mergeCell ref="CA74:CD74"/>
  </mergeCells>
  <phoneticPr fontId="1"/>
  <dataValidations count="1">
    <dataValidation type="list" allowBlank="1" showInputMessage="1" showErrorMessage="1" sqref="L32">
      <formula1>"している,していない"</formula1>
    </dataValidation>
  </dataValidations>
  <pageMargins left="0.25" right="0.25" top="0.75" bottom="0.75" header="0.3" footer="0.3"/>
  <pageSetup paperSize="9" scale="92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00000"/>
    <pageSetUpPr fitToPage="1"/>
  </sheetPr>
  <dimension ref="A1:DB38"/>
  <sheetViews>
    <sheetView showGridLines="0" zoomScale="110" zoomScaleNormal="110" workbookViewId="0">
      <selection activeCell="Z47" sqref="Z47"/>
    </sheetView>
  </sheetViews>
  <sheetFormatPr defaultColWidth="9" defaultRowHeight="14.25"/>
  <cols>
    <col min="1" max="1" width="2.25" style="75" customWidth="1"/>
    <col min="2" max="87" width="1.25" style="76" customWidth="1"/>
    <col min="88" max="88" width="1.25" style="77" customWidth="1"/>
    <col min="89" max="89" width="3.375" style="77" customWidth="1"/>
    <col min="90" max="90" width="13.5" style="77" customWidth="1"/>
    <col min="91" max="91" width="3.75" style="27" customWidth="1"/>
    <col min="92" max="92" width="10.125" style="27" hidden="1" customWidth="1"/>
    <col min="93" max="93" width="2" style="27" customWidth="1"/>
    <col min="94" max="94" width="1.875" style="27" hidden="1" customWidth="1"/>
    <col min="95" max="95" width="9" style="27"/>
    <col min="96" max="96" width="10.625" style="74" customWidth="1"/>
    <col min="97" max="97" width="9" style="74"/>
    <col min="98" max="98" width="10.625" style="74" customWidth="1"/>
    <col min="99" max="99" width="12.625" style="74" customWidth="1"/>
    <col min="100" max="16384" width="9" style="27"/>
  </cols>
  <sheetData>
    <row r="1" spans="1:106" ht="32.25" customHeight="1" thickTop="1" thickBot="1">
      <c r="A1" s="16"/>
      <c r="B1" s="17" t="s">
        <v>26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9"/>
      <c r="CJ1" s="20"/>
      <c r="CK1" s="21"/>
      <c r="CL1" s="21"/>
      <c r="CM1" s="22"/>
      <c r="CN1" s="23"/>
      <c r="CO1" s="24"/>
      <c r="CP1" s="25"/>
      <c r="CQ1" s="24"/>
      <c r="CR1" s="26" t="s">
        <v>27</v>
      </c>
      <c r="CS1" s="26"/>
      <c r="CT1" s="212" t="s">
        <v>28</v>
      </c>
      <c r="CU1" s="213"/>
      <c r="CV1" s="24"/>
      <c r="CW1" s="24"/>
      <c r="CX1" s="24"/>
      <c r="CY1" s="24"/>
      <c r="CZ1" s="24"/>
      <c r="DA1" s="24"/>
      <c r="DB1" s="24"/>
    </row>
    <row r="2" spans="1:106" ht="32.25" customHeight="1" thickTop="1" thickBot="1">
      <c r="A2" s="28"/>
      <c r="B2" s="214" t="s">
        <v>29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6"/>
      <c r="CJ2" s="29"/>
      <c r="CK2" s="30"/>
      <c r="CL2" s="21"/>
      <c r="CM2" s="22"/>
      <c r="CN2" s="23"/>
      <c r="CO2" s="24"/>
      <c r="CP2" s="25"/>
      <c r="CQ2" s="24"/>
      <c r="CR2" s="89"/>
      <c r="CS2" s="89"/>
      <c r="CT2" s="89"/>
      <c r="CU2" s="89"/>
      <c r="CV2" s="24"/>
      <c r="CW2" s="24"/>
      <c r="CX2" s="24"/>
      <c r="CY2" s="24"/>
      <c r="CZ2" s="24"/>
      <c r="DA2" s="24"/>
      <c r="DB2" s="24"/>
    </row>
    <row r="3" spans="1:106" ht="13.5" customHeight="1" thickTop="1" thickBot="1">
      <c r="A3" s="28"/>
      <c r="B3" s="217" t="s">
        <v>30</v>
      </c>
      <c r="C3" s="218"/>
      <c r="D3" s="218"/>
      <c r="E3" s="218"/>
      <c r="F3" s="218"/>
      <c r="G3" s="218"/>
      <c r="H3" s="221" t="s">
        <v>31</v>
      </c>
      <c r="I3" s="221"/>
      <c r="J3" s="221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24" t="s">
        <v>32</v>
      </c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5"/>
      <c r="CJ3" s="31"/>
      <c r="CK3" s="21"/>
      <c r="CL3" s="80"/>
      <c r="CM3" s="32"/>
      <c r="CN3" s="23"/>
      <c r="CO3" s="24"/>
      <c r="CP3" s="25"/>
      <c r="CQ3" s="24"/>
      <c r="CR3" s="204" t="s">
        <v>33</v>
      </c>
      <c r="CS3" s="205"/>
      <c r="CT3" s="205"/>
      <c r="CU3" s="208">
        <f>CL4</f>
        <v>0</v>
      </c>
      <c r="CV3" s="24"/>
      <c r="CW3" s="24"/>
      <c r="CX3" s="24"/>
      <c r="CY3" s="24"/>
      <c r="CZ3" s="24"/>
      <c r="DA3" s="24"/>
      <c r="DB3" s="24"/>
    </row>
    <row r="4" spans="1:106" ht="15" thickTop="1" thickBot="1">
      <c r="A4" s="28"/>
      <c r="B4" s="219"/>
      <c r="C4" s="220"/>
      <c r="D4" s="220"/>
      <c r="E4" s="220"/>
      <c r="F4" s="220"/>
      <c r="G4" s="220"/>
      <c r="H4" s="222"/>
      <c r="I4" s="222"/>
      <c r="J4" s="222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7"/>
      <c r="CJ4" s="30"/>
      <c r="CK4" s="78"/>
      <c r="CL4" s="81"/>
      <c r="CM4" s="79"/>
      <c r="CN4" s="23"/>
      <c r="CO4" s="24"/>
      <c r="CP4" s="25"/>
      <c r="CQ4" s="24"/>
      <c r="CR4" s="206"/>
      <c r="CS4" s="207"/>
      <c r="CT4" s="207"/>
      <c r="CU4" s="209"/>
      <c r="CV4" s="24"/>
      <c r="CW4" s="24"/>
      <c r="CX4" s="24"/>
      <c r="CY4" s="24"/>
      <c r="CZ4" s="24"/>
      <c r="DA4" s="24"/>
      <c r="DB4" s="24"/>
    </row>
    <row r="5" spans="1:106" ht="15.75" thickTop="1" thickBot="1">
      <c r="A5" s="28"/>
      <c r="B5" s="219"/>
      <c r="C5" s="220"/>
      <c r="D5" s="220"/>
      <c r="E5" s="220"/>
      <c r="F5" s="220"/>
      <c r="G5" s="220"/>
      <c r="H5" s="222"/>
      <c r="I5" s="222"/>
      <c r="J5" s="222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33" t="s">
        <v>34</v>
      </c>
      <c r="AY5" s="233"/>
      <c r="AZ5" s="233"/>
      <c r="BA5" s="233"/>
      <c r="BB5" s="233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5"/>
      <c r="CJ5" s="30"/>
      <c r="CK5" s="78"/>
      <c r="CL5" s="81"/>
      <c r="CM5" s="79"/>
      <c r="CN5" s="23"/>
      <c r="CO5" s="24"/>
      <c r="CP5" s="25"/>
      <c r="CQ5" s="24"/>
      <c r="CR5" s="89"/>
      <c r="CS5" s="89"/>
      <c r="CT5" s="89"/>
      <c r="CU5" s="89"/>
      <c r="CV5" s="24"/>
      <c r="CW5" s="24"/>
      <c r="CX5" s="24"/>
      <c r="CY5" s="24"/>
      <c r="CZ5" s="24"/>
      <c r="DA5" s="24"/>
      <c r="DB5" s="24"/>
    </row>
    <row r="6" spans="1:106" ht="16.5" customHeight="1" thickTop="1" thickBot="1">
      <c r="A6" s="28"/>
      <c r="B6" s="219"/>
      <c r="C6" s="220"/>
      <c r="D6" s="220"/>
      <c r="E6" s="220"/>
      <c r="F6" s="220"/>
      <c r="G6" s="220"/>
      <c r="H6" s="222"/>
      <c r="I6" s="222"/>
      <c r="J6" s="222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36" t="s">
        <v>35</v>
      </c>
      <c r="AY6" s="236"/>
      <c r="AZ6" s="236"/>
      <c r="BA6" s="236"/>
      <c r="BB6" s="237"/>
      <c r="BC6" s="238" t="s">
        <v>36</v>
      </c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40"/>
      <c r="CJ6" s="30"/>
      <c r="CK6" s="78"/>
      <c r="CL6" s="81"/>
      <c r="CM6" s="79"/>
      <c r="CN6" s="23"/>
      <c r="CO6" s="24"/>
      <c r="CP6" s="25"/>
      <c r="CQ6" s="24"/>
      <c r="CR6" s="204" t="s">
        <v>5</v>
      </c>
      <c r="CS6" s="205"/>
      <c r="CT6" s="205"/>
      <c r="CU6" s="208">
        <f>VLOOKUP(CU3,CR11:CU22,4)</f>
        <v>0</v>
      </c>
      <c r="CV6" s="24"/>
      <c r="CW6" s="24"/>
      <c r="CX6" s="24"/>
      <c r="CY6" s="24"/>
      <c r="CZ6" s="24"/>
      <c r="DA6" s="24"/>
      <c r="DB6" s="24"/>
    </row>
    <row r="7" spans="1:106" ht="39" customHeight="1" thickTop="1" thickBot="1">
      <c r="A7" s="28"/>
      <c r="B7" s="219"/>
      <c r="C7" s="220"/>
      <c r="D7" s="220"/>
      <c r="E7" s="220"/>
      <c r="F7" s="220"/>
      <c r="G7" s="220"/>
      <c r="H7" s="222"/>
      <c r="I7" s="222"/>
      <c r="J7" s="222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36"/>
      <c r="AY7" s="236"/>
      <c r="AZ7" s="236"/>
      <c r="BA7" s="236"/>
      <c r="BB7" s="236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1"/>
      <c r="CJ7" s="30"/>
      <c r="CK7" s="78"/>
      <c r="CL7" s="81"/>
      <c r="CM7" s="79"/>
      <c r="CN7" s="23"/>
      <c r="CO7" s="24"/>
      <c r="CP7" s="25"/>
      <c r="CQ7" s="24"/>
      <c r="CR7" s="206"/>
      <c r="CS7" s="207"/>
      <c r="CT7" s="207"/>
      <c r="CU7" s="209"/>
      <c r="CV7" s="24"/>
      <c r="CW7" s="24"/>
      <c r="CX7" s="24"/>
      <c r="CY7" s="24"/>
      <c r="CZ7" s="24"/>
      <c r="DA7" s="24"/>
      <c r="DB7" s="24"/>
    </row>
    <row r="8" spans="1:106" ht="15.75" thickTop="1" thickBot="1">
      <c r="A8" s="28"/>
      <c r="B8" s="245" t="s">
        <v>37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 t="s">
        <v>38</v>
      </c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 t="s">
        <v>39</v>
      </c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 t="s">
        <v>40</v>
      </c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6" t="s">
        <v>41</v>
      </c>
      <c r="BU8" s="246"/>
      <c r="BV8" s="246"/>
      <c r="BW8" s="246"/>
      <c r="BX8" s="246"/>
      <c r="BY8" s="246"/>
      <c r="BZ8" s="246"/>
      <c r="CA8" s="246"/>
      <c r="CB8" s="246"/>
      <c r="CC8" s="246"/>
      <c r="CD8" s="246"/>
      <c r="CE8" s="246"/>
      <c r="CF8" s="246"/>
      <c r="CG8" s="246"/>
      <c r="CH8" s="246"/>
      <c r="CI8" s="247"/>
      <c r="CJ8" s="30"/>
      <c r="CK8" s="78"/>
      <c r="CL8" s="81"/>
      <c r="CM8" s="79"/>
      <c r="CN8" s="23"/>
      <c r="CO8" s="24"/>
      <c r="CP8" s="25"/>
      <c r="CQ8" s="24"/>
      <c r="CR8" s="33"/>
      <c r="CS8" s="33"/>
      <c r="CT8" s="33"/>
      <c r="CU8" s="34"/>
      <c r="CV8" s="24"/>
      <c r="CW8" s="24"/>
      <c r="CX8" s="24"/>
      <c r="CY8" s="24"/>
      <c r="CZ8" s="24"/>
      <c r="DA8" s="24"/>
      <c r="DB8" s="24"/>
    </row>
    <row r="9" spans="1:106" ht="31.5" customHeight="1" thickTop="1" thickBot="1">
      <c r="A9" s="28"/>
      <c r="B9" s="255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33" t="s">
        <v>42</v>
      </c>
      <c r="U9" s="233"/>
      <c r="V9" s="233"/>
      <c r="W9" s="233"/>
      <c r="X9" s="233"/>
      <c r="Y9" s="254"/>
      <c r="Z9" s="228" t="s">
        <v>43</v>
      </c>
      <c r="AA9" s="229"/>
      <c r="AB9" s="229"/>
      <c r="AC9" s="229"/>
      <c r="AD9" s="229"/>
      <c r="AE9" s="230"/>
      <c r="AF9" s="231" t="s">
        <v>4</v>
      </c>
      <c r="AG9" s="229"/>
      <c r="AH9" s="229"/>
      <c r="AI9" s="229"/>
      <c r="AJ9" s="229"/>
      <c r="AK9" s="229"/>
      <c r="AL9" s="223"/>
      <c r="AM9" s="223"/>
      <c r="AN9" s="223"/>
      <c r="AO9" s="223"/>
      <c r="AP9" s="232"/>
      <c r="AQ9" s="231" t="s">
        <v>43</v>
      </c>
      <c r="AR9" s="229"/>
      <c r="AS9" s="229"/>
      <c r="AT9" s="229"/>
      <c r="AU9" s="229"/>
      <c r="AV9" s="230"/>
      <c r="AW9" s="231" t="s">
        <v>4</v>
      </c>
      <c r="AX9" s="229"/>
      <c r="AY9" s="229"/>
      <c r="AZ9" s="229"/>
      <c r="BA9" s="229"/>
      <c r="BB9" s="229"/>
      <c r="BC9" s="223"/>
      <c r="BD9" s="223"/>
      <c r="BE9" s="223"/>
      <c r="BF9" s="223"/>
      <c r="BG9" s="253"/>
      <c r="BH9" s="228" t="s">
        <v>43</v>
      </c>
      <c r="BI9" s="229"/>
      <c r="BJ9" s="229"/>
      <c r="BK9" s="229"/>
      <c r="BL9" s="229"/>
      <c r="BM9" s="230"/>
      <c r="BN9" s="231" t="s">
        <v>4</v>
      </c>
      <c r="BO9" s="229"/>
      <c r="BP9" s="229"/>
      <c r="BQ9" s="229"/>
      <c r="BR9" s="229"/>
      <c r="BS9" s="229"/>
      <c r="BT9" s="233" t="s">
        <v>42</v>
      </c>
      <c r="BU9" s="233"/>
      <c r="BV9" s="233"/>
      <c r="BW9" s="233"/>
      <c r="BX9" s="254"/>
      <c r="BY9" s="231" t="s">
        <v>43</v>
      </c>
      <c r="BZ9" s="229"/>
      <c r="CA9" s="229"/>
      <c r="CB9" s="229"/>
      <c r="CC9" s="229"/>
      <c r="CD9" s="241"/>
      <c r="CE9" s="242" t="s">
        <v>4</v>
      </c>
      <c r="CF9" s="243"/>
      <c r="CG9" s="243"/>
      <c r="CH9" s="243"/>
      <c r="CI9" s="244"/>
      <c r="CJ9" s="35"/>
      <c r="CK9" s="78"/>
      <c r="CL9" s="81"/>
      <c r="CM9" s="79"/>
      <c r="CN9" s="23"/>
      <c r="CO9" s="24"/>
      <c r="CP9" s="25"/>
      <c r="CQ9" s="24"/>
      <c r="CR9" s="89"/>
      <c r="CS9" s="89"/>
      <c r="CT9" s="89"/>
      <c r="CU9" s="89"/>
      <c r="CV9" s="24"/>
      <c r="CW9" s="24"/>
      <c r="CX9" s="24"/>
      <c r="CY9" s="24"/>
      <c r="CZ9" s="24"/>
      <c r="DA9" s="24"/>
      <c r="DB9" s="24"/>
    </row>
    <row r="10" spans="1:106" ht="23.25" customHeight="1" thickTop="1" thickBot="1">
      <c r="A10" s="28"/>
      <c r="B10" s="245" t="s">
        <v>44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8" t="s">
        <v>45</v>
      </c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8" t="s">
        <v>46</v>
      </c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G10" s="246"/>
      <c r="BH10" s="246"/>
      <c r="BI10" s="246"/>
      <c r="BJ10" s="246"/>
      <c r="BK10" s="249" t="s">
        <v>47</v>
      </c>
      <c r="BL10" s="250"/>
      <c r="BM10" s="250"/>
      <c r="BN10" s="250"/>
      <c r="BO10" s="250"/>
      <c r="BP10" s="248" t="s">
        <v>48</v>
      </c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51" t="s">
        <v>49</v>
      </c>
      <c r="CF10" s="223"/>
      <c r="CG10" s="223"/>
      <c r="CH10" s="223"/>
      <c r="CI10" s="252"/>
      <c r="CJ10" s="30"/>
      <c r="CK10" s="78"/>
      <c r="CL10" s="81"/>
      <c r="CM10" s="79"/>
      <c r="CN10" s="23"/>
      <c r="CO10" s="24"/>
      <c r="CP10" s="25"/>
      <c r="CQ10" s="24"/>
      <c r="CR10" s="256" t="s">
        <v>33</v>
      </c>
      <c r="CS10" s="256"/>
      <c r="CT10" s="256"/>
      <c r="CU10" s="88" t="s">
        <v>5</v>
      </c>
      <c r="CV10" s="24"/>
      <c r="CW10" s="24"/>
      <c r="CX10" s="24"/>
      <c r="CY10" s="24"/>
      <c r="CZ10" s="24"/>
      <c r="DA10" s="24"/>
      <c r="DB10" s="24"/>
    </row>
    <row r="11" spans="1:106" ht="15" thickTop="1" thickBot="1">
      <c r="A11" s="28"/>
      <c r="B11" s="245" t="s">
        <v>50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 t="s">
        <v>51</v>
      </c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 t="s">
        <v>52</v>
      </c>
      <c r="AG11" s="246"/>
      <c r="AH11" s="246"/>
      <c r="AI11" s="246"/>
      <c r="AJ11" s="246"/>
      <c r="AK11" s="246"/>
      <c r="AL11" s="246"/>
      <c r="AM11" s="246"/>
      <c r="AN11" s="246"/>
      <c r="AO11" s="246" t="s">
        <v>51</v>
      </c>
      <c r="AP11" s="246"/>
      <c r="AQ11" s="246"/>
      <c r="AR11" s="246"/>
      <c r="AS11" s="246"/>
      <c r="AT11" s="246"/>
      <c r="AU11" s="246"/>
      <c r="AV11" s="246"/>
      <c r="AW11" s="246"/>
      <c r="AX11" s="246"/>
      <c r="AY11" s="246"/>
      <c r="AZ11" s="246"/>
      <c r="BA11" s="246"/>
      <c r="BB11" s="246" t="s">
        <v>53</v>
      </c>
      <c r="BC11" s="246"/>
      <c r="BD11" s="246"/>
      <c r="BE11" s="246"/>
      <c r="BF11" s="246"/>
      <c r="BG11" s="246"/>
      <c r="BH11" s="246"/>
      <c r="BI11" s="246"/>
      <c r="BJ11" s="246"/>
      <c r="BK11" s="250"/>
      <c r="BL11" s="250"/>
      <c r="BM11" s="250"/>
      <c r="BN11" s="250"/>
      <c r="BO11" s="250"/>
      <c r="BP11" s="246" t="s">
        <v>54</v>
      </c>
      <c r="BQ11" s="246"/>
      <c r="BR11" s="246"/>
      <c r="BS11" s="246"/>
      <c r="BT11" s="246"/>
      <c r="BU11" s="246"/>
      <c r="BV11" s="246"/>
      <c r="BW11" s="246"/>
      <c r="BX11" s="246"/>
      <c r="BY11" s="246"/>
      <c r="BZ11" s="246" t="s">
        <v>53</v>
      </c>
      <c r="CA11" s="246"/>
      <c r="CB11" s="246"/>
      <c r="CC11" s="246"/>
      <c r="CD11" s="246"/>
      <c r="CE11" s="223"/>
      <c r="CF11" s="223"/>
      <c r="CG11" s="223"/>
      <c r="CH11" s="223"/>
      <c r="CI11" s="252"/>
      <c r="CJ11" s="30"/>
      <c r="CK11" s="78"/>
      <c r="CL11" s="81"/>
      <c r="CM11" s="79"/>
      <c r="CN11" s="23"/>
      <c r="CO11" s="24"/>
      <c r="CP11" s="25"/>
      <c r="CQ11" s="24"/>
      <c r="CR11" s="36">
        <v>0</v>
      </c>
      <c r="CS11" s="37" t="s">
        <v>55</v>
      </c>
      <c r="CT11" s="38">
        <v>550999</v>
      </c>
      <c r="CU11" s="39">
        <v>0</v>
      </c>
      <c r="CV11" s="24"/>
      <c r="CW11" s="24"/>
      <c r="CX11" s="24"/>
      <c r="CY11" s="24"/>
      <c r="CZ11" s="24"/>
      <c r="DA11" s="24"/>
      <c r="DB11" s="24"/>
    </row>
    <row r="12" spans="1:106" ht="8.25" customHeight="1" thickTop="1" thickBot="1">
      <c r="A12" s="28"/>
      <c r="B12" s="255" t="s">
        <v>56</v>
      </c>
      <c r="C12" s="223"/>
      <c r="D12" s="223"/>
      <c r="E12" s="223"/>
      <c r="F12" s="223"/>
      <c r="G12" s="223"/>
      <c r="H12" s="223" t="s">
        <v>57</v>
      </c>
      <c r="I12" s="223"/>
      <c r="J12" s="223"/>
      <c r="K12" s="223"/>
      <c r="L12" s="223"/>
      <c r="M12" s="223"/>
      <c r="N12" s="223"/>
      <c r="O12" s="223"/>
      <c r="P12" s="223"/>
      <c r="Q12" s="223"/>
      <c r="R12" s="229" t="s">
        <v>43</v>
      </c>
      <c r="S12" s="229"/>
      <c r="T12" s="229"/>
      <c r="U12" s="229"/>
      <c r="V12" s="229"/>
      <c r="W12" s="229"/>
      <c r="X12" s="241"/>
      <c r="Y12" s="228" t="s">
        <v>4</v>
      </c>
      <c r="Z12" s="229"/>
      <c r="AA12" s="229"/>
      <c r="AB12" s="229"/>
      <c r="AC12" s="229"/>
      <c r="AD12" s="229"/>
      <c r="AE12" s="229"/>
      <c r="AF12" s="229" t="s">
        <v>58</v>
      </c>
      <c r="AG12" s="229"/>
      <c r="AH12" s="229"/>
      <c r="AI12" s="229"/>
      <c r="AJ12" s="229"/>
      <c r="AK12" s="229" t="s">
        <v>59</v>
      </c>
      <c r="AL12" s="229"/>
      <c r="AM12" s="229"/>
      <c r="AN12" s="229"/>
      <c r="AO12" s="229" t="s">
        <v>42</v>
      </c>
      <c r="AP12" s="229"/>
      <c r="AQ12" s="229"/>
      <c r="AR12" s="241"/>
      <c r="AS12" s="228" t="s">
        <v>58</v>
      </c>
      <c r="AT12" s="229"/>
      <c r="AU12" s="229"/>
      <c r="AV12" s="229"/>
      <c r="AW12" s="229"/>
      <c r="AX12" s="229" t="s">
        <v>60</v>
      </c>
      <c r="AY12" s="229"/>
      <c r="AZ12" s="229"/>
      <c r="BA12" s="229"/>
      <c r="BB12" s="229" t="s">
        <v>58</v>
      </c>
      <c r="BC12" s="229"/>
      <c r="BD12" s="229"/>
      <c r="BE12" s="229"/>
      <c r="BF12" s="229"/>
      <c r="BG12" s="229" t="s">
        <v>60</v>
      </c>
      <c r="BH12" s="229"/>
      <c r="BI12" s="229"/>
      <c r="BJ12" s="229"/>
      <c r="BK12" s="229" t="s">
        <v>58</v>
      </c>
      <c r="BL12" s="229"/>
      <c r="BM12" s="229"/>
      <c r="BN12" s="229"/>
      <c r="BO12" s="229"/>
      <c r="BP12" s="229" t="s">
        <v>42</v>
      </c>
      <c r="BQ12" s="229"/>
      <c r="BR12" s="229"/>
      <c r="BS12" s="229"/>
      <c r="BT12" s="241"/>
      <c r="BU12" s="228" t="s">
        <v>61</v>
      </c>
      <c r="BV12" s="229"/>
      <c r="BW12" s="229"/>
      <c r="BX12" s="229"/>
      <c r="BY12" s="229"/>
      <c r="BZ12" s="229" t="s">
        <v>61</v>
      </c>
      <c r="CA12" s="229"/>
      <c r="CB12" s="229"/>
      <c r="CC12" s="229"/>
      <c r="CD12" s="229"/>
      <c r="CE12" s="229" t="s">
        <v>61</v>
      </c>
      <c r="CF12" s="229"/>
      <c r="CG12" s="229"/>
      <c r="CH12" s="229"/>
      <c r="CI12" s="257"/>
      <c r="CJ12" s="30"/>
      <c r="CK12" s="50"/>
      <c r="CL12" s="81"/>
      <c r="CM12" s="79"/>
      <c r="CN12" s="23"/>
      <c r="CO12" s="24"/>
      <c r="CP12" s="25"/>
      <c r="CQ12" s="24"/>
      <c r="CR12" s="36">
        <v>551000</v>
      </c>
      <c r="CS12" s="37" t="s">
        <v>55</v>
      </c>
      <c r="CT12" s="38">
        <v>1618999</v>
      </c>
      <c r="CU12" s="39">
        <f>CU3-550000</f>
        <v>-550000</v>
      </c>
      <c r="CV12" s="24"/>
      <c r="CW12" s="24"/>
      <c r="CX12" s="24"/>
      <c r="CY12" s="24"/>
      <c r="CZ12" s="24"/>
      <c r="DA12" s="24"/>
      <c r="DB12" s="24"/>
    </row>
    <row r="13" spans="1:106" ht="33.75" customHeight="1" thickTop="1" thickBot="1">
      <c r="A13" s="28"/>
      <c r="B13" s="255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9"/>
      <c r="S13" s="229"/>
      <c r="T13" s="229"/>
      <c r="U13" s="229"/>
      <c r="V13" s="229"/>
      <c r="W13" s="229"/>
      <c r="X13" s="241"/>
      <c r="Y13" s="228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41"/>
      <c r="AS13" s="228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41"/>
      <c r="BU13" s="228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57"/>
      <c r="CJ13" s="30"/>
      <c r="CK13" s="20"/>
      <c r="CL13" s="40"/>
      <c r="CM13" s="41"/>
      <c r="CN13" s="42"/>
      <c r="CO13" s="24"/>
      <c r="CP13" s="25"/>
      <c r="CQ13" s="24"/>
      <c r="CR13" s="36">
        <v>1619000</v>
      </c>
      <c r="CS13" s="37" t="s">
        <v>55</v>
      </c>
      <c r="CT13" s="38">
        <v>1619999</v>
      </c>
      <c r="CU13" s="39">
        <v>1069000</v>
      </c>
      <c r="CV13" s="24"/>
      <c r="CW13" s="24"/>
      <c r="CX13" s="24"/>
      <c r="CY13" s="24"/>
      <c r="CZ13" s="24"/>
      <c r="DA13" s="24"/>
      <c r="DB13" s="24"/>
    </row>
    <row r="14" spans="1:106" ht="15" thickTop="1" thickBot="1">
      <c r="A14" s="28"/>
      <c r="B14" s="245" t="s">
        <v>62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 t="s">
        <v>63</v>
      </c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 t="s">
        <v>64</v>
      </c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 t="s">
        <v>65</v>
      </c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7"/>
      <c r="CJ14" s="43"/>
      <c r="CK14" s="29"/>
      <c r="CL14" s="44"/>
      <c r="CM14" s="45"/>
      <c r="CN14" s="46"/>
      <c r="CO14" s="24"/>
      <c r="CP14" s="25"/>
      <c r="CQ14" s="24"/>
      <c r="CR14" s="36">
        <v>1620000</v>
      </c>
      <c r="CS14" s="37" t="s">
        <v>55</v>
      </c>
      <c r="CT14" s="38">
        <v>1621999</v>
      </c>
      <c r="CU14" s="39">
        <v>1070000</v>
      </c>
      <c r="CV14" s="24"/>
      <c r="CW14" s="24"/>
      <c r="CX14" s="24"/>
      <c r="CY14" s="24"/>
      <c r="CZ14" s="24"/>
      <c r="DA14" s="24"/>
      <c r="DB14" s="24"/>
    </row>
    <row r="15" spans="1:106" ht="56.25" customHeight="1" thickTop="1" thickBot="1">
      <c r="A15" s="28"/>
      <c r="B15" s="261" t="s">
        <v>66</v>
      </c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41"/>
      <c r="N15" s="228" t="s">
        <v>67</v>
      </c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 t="s">
        <v>68</v>
      </c>
      <c r="Z15" s="229"/>
      <c r="AA15" s="229"/>
      <c r="AB15" s="229"/>
      <c r="AC15" s="229"/>
      <c r="AD15" s="229"/>
      <c r="AE15" s="229"/>
      <c r="AF15" s="229"/>
      <c r="AG15" s="229"/>
      <c r="AH15" s="229"/>
      <c r="AI15" s="230"/>
      <c r="AJ15" s="231" t="s">
        <v>67</v>
      </c>
      <c r="AK15" s="229"/>
      <c r="AL15" s="229"/>
      <c r="AM15" s="229"/>
      <c r="AN15" s="229"/>
      <c r="AO15" s="229"/>
      <c r="AP15" s="229"/>
      <c r="AQ15" s="229"/>
      <c r="AR15" s="229"/>
      <c r="AS15" s="229"/>
      <c r="AT15" s="229" t="s">
        <v>68</v>
      </c>
      <c r="AU15" s="229"/>
      <c r="AV15" s="229"/>
      <c r="AW15" s="229"/>
      <c r="AX15" s="229"/>
      <c r="AY15" s="229"/>
      <c r="AZ15" s="229"/>
      <c r="BA15" s="229"/>
      <c r="BB15" s="229"/>
      <c r="BC15" s="229"/>
      <c r="BD15" s="230"/>
      <c r="BE15" s="231" t="s">
        <v>67</v>
      </c>
      <c r="BF15" s="229"/>
      <c r="BG15" s="229"/>
      <c r="BH15" s="229"/>
      <c r="BI15" s="229"/>
      <c r="BJ15" s="229"/>
      <c r="BK15" s="229"/>
      <c r="BL15" s="229"/>
      <c r="BM15" s="229"/>
      <c r="BN15" s="229"/>
      <c r="BO15" s="229" t="s">
        <v>43</v>
      </c>
      <c r="BP15" s="229"/>
      <c r="BQ15" s="229"/>
      <c r="BR15" s="229"/>
      <c r="BS15" s="229"/>
      <c r="BT15" s="229"/>
      <c r="BU15" s="229"/>
      <c r="BV15" s="229"/>
      <c r="BW15" s="229"/>
      <c r="BX15" s="229"/>
      <c r="BY15" s="230"/>
      <c r="BZ15" s="231" t="s">
        <v>4</v>
      </c>
      <c r="CA15" s="229"/>
      <c r="CB15" s="229"/>
      <c r="CC15" s="229"/>
      <c r="CD15" s="229"/>
      <c r="CE15" s="229"/>
      <c r="CF15" s="229"/>
      <c r="CG15" s="229"/>
      <c r="CH15" s="229"/>
      <c r="CI15" s="257"/>
      <c r="CJ15" s="43"/>
      <c r="CK15" s="29"/>
      <c r="CL15" s="44"/>
      <c r="CM15" s="45"/>
      <c r="CN15" s="46"/>
      <c r="CO15" s="24"/>
      <c r="CP15" s="25"/>
      <c r="CQ15" s="24"/>
      <c r="CR15" s="36">
        <v>1622000</v>
      </c>
      <c r="CS15" s="37" t="s">
        <v>55</v>
      </c>
      <c r="CT15" s="38">
        <v>1623999</v>
      </c>
      <c r="CU15" s="39">
        <v>1072000</v>
      </c>
      <c r="CV15" s="24"/>
      <c r="CW15" s="24"/>
      <c r="CX15" s="24"/>
      <c r="CY15" s="24"/>
      <c r="CZ15" s="24"/>
      <c r="DA15" s="24"/>
      <c r="DB15" s="24"/>
    </row>
    <row r="16" spans="1:106" ht="89.25" customHeight="1" thickTop="1" thickBot="1">
      <c r="A16" s="28"/>
      <c r="B16" s="258" t="s">
        <v>69</v>
      </c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60"/>
      <c r="CJ16" s="47"/>
      <c r="CK16" s="29"/>
      <c r="CL16" s="44"/>
      <c r="CM16" s="45"/>
      <c r="CN16" s="46"/>
      <c r="CO16" s="24"/>
      <c r="CP16" s="25"/>
      <c r="CQ16" s="24"/>
      <c r="CR16" s="36">
        <v>1624000</v>
      </c>
      <c r="CS16" s="37" t="s">
        <v>55</v>
      </c>
      <c r="CT16" s="38">
        <v>1627999</v>
      </c>
      <c r="CU16" s="39">
        <v>1074000</v>
      </c>
      <c r="CV16" s="24"/>
      <c r="CW16" s="24"/>
      <c r="CX16" s="24"/>
      <c r="CY16" s="24"/>
      <c r="CZ16" s="24"/>
      <c r="DA16" s="24"/>
      <c r="DB16" s="24"/>
    </row>
    <row r="17" spans="1:106" thickTop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50"/>
      <c r="CK17" s="51"/>
      <c r="CL17" s="52"/>
      <c r="CM17" s="53"/>
      <c r="CN17" s="54"/>
      <c r="CO17" s="24"/>
      <c r="CP17" s="55"/>
      <c r="CQ17" s="56"/>
      <c r="CR17" s="36">
        <v>1628000</v>
      </c>
      <c r="CS17" s="37" t="s">
        <v>55</v>
      </c>
      <c r="CT17" s="38">
        <v>1799999</v>
      </c>
      <c r="CU17" s="39">
        <f>ROUNDDOWN(CU3/4,-3)*2.4+100000</f>
        <v>100000</v>
      </c>
      <c r="CV17" s="24"/>
      <c r="CW17" s="24"/>
      <c r="CX17" s="24"/>
      <c r="CY17" s="24"/>
      <c r="CZ17" s="24"/>
      <c r="DA17" s="24"/>
      <c r="DB17" s="24"/>
    </row>
    <row r="18" spans="1:106" ht="13.5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9"/>
      <c r="CK18" s="59"/>
      <c r="CL18" s="59"/>
      <c r="CM18" s="60"/>
      <c r="CN18" s="61"/>
      <c r="CO18" s="24"/>
      <c r="CP18" s="61"/>
      <c r="CQ18" s="56"/>
      <c r="CR18" s="38"/>
      <c r="CS18" s="37"/>
      <c r="CT18" s="38"/>
      <c r="CU18" s="39"/>
      <c r="CV18" s="24"/>
      <c r="CW18" s="24"/>
      <c r="CX18" s="24"/>
      <c r="CY18" s="24"/>
      <c r="CZ18" s="24"/>
      <c r="DA18" s="24"/>
      <c r="DB18" s="24"/>
    </row>
    <row r="19" spans="1:106" ht="13.5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4"/>
      <c r="CK19" s="64"/>
      <c r="CL19" s="64"/>
      <c r="CM19" s="65"/>
      <c r="CN19" s="24"/>
      <c r="CO19" s="24"/>
      <c r="CP19" s="24"/>
      <c r="CQ19" s="24"/>
      <c r="CR19" s="38">
        <v>1800000</v>
      </c>
      <c r="CS19" s="37" t="s">
        <v>55</v>
      </c>
      <c r="CT19" s="38">
        <v>3599999</v>
      </c>
      <c r="CU19" s="39">
        <f>ROUNDDOWN(CU3/4,-3)*2.8-80000</f>
        <v>-80000</v>
      </c>
      <c r="CV19" s="24"/>
      <c r="CW19" s="24"/>
      <c r="CX19" s="24"/>
      <c r="CY19" s="24"/>
      <c r="CZ19" s="24"/>
      <c r="DA19" s="24"/>
      <c r="DB19" s="24"/>
    </row>
    <row r="20" spans="1:106" ht="13.5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4"/>
      <c r="CK20" s="64"/>
      <c r="CL20" s="64"/>
      <c r="CM20" s="65"/>
      <c r="CN20" s="24"/>
      <c r="CO20" s="24"/>
      <c r="CP20" s="24"/>
      <c r="CQ20" s="24"/>
      <c r="CR20" s="38">
        <v>3600000</v>
      </c>
      <c r="CS20" s="37" t="s">
        <v>55</v>
      </c>
      <c r="CT20" s="38">
        <v>6599999</v>
      </c>
      <c r="CU20" s="39">
        <f>ROUNDDOWN(CU3/4,-3)*3.2-440000</f>
        <v>-440000</v>
      </c>
      <c r="CV20" s="24"/>
      <c r="CW20" s="24"/>
      <c r="CX20" s="24"/>
      <c r="CY20" s="24"/>
      <c r="CZ20" s="24"/>
      <c r="DA20" s="24"/>
      <c r="DB20" s="24"/>
    </row>
    <row r="21" spans="1:106" ht="13.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4"/>
      <c r="CK21" s="64"/>
      <c r="CL21" s="64"/>
      <c r="CM21" s="65"/>
      <c r="CN21" s="24"/>
      <c r="CO21" s="24"/>
      <c r="CP21" s="24"/>
      <c r="CQ21" s="24"/>
      <c r="CR21" s="38">
        <v>6600000</v>
      </c>
      <c r="CS21" s="37" t="s">
        <v>55</v>
      </c>
      <c r="CT21" s="38">
        <v>8499999</v>
      </c>
      <c r="CU21" s="39">
        <f>CU3*0.9-1100000</f>
        <v>-1100000</v>
      </c>
      <c r="CV21" s="24"/>
      <c r="CW21" s="24"/>
      <c r="CX21" s="24"/>
      <c r="CY21" s="24"/>
      <c r="CZ21" s="24"/>
      <c r="DA21" s="24"/>
      <c r="DB21" s="24"/>
    </row>
    <row r="22" spans="1:106" ht="13.5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4"/>
      <c r="CK22" s="64"/>
      <c r="CL22" s="64"/>
      <c r="CM22" s="24"/>
      <c r="CN22" s="24"/>
      <c r="CO22" s="24"/>
      <c r="CP22" s="24"/>
      <c r="CQ22" s="24"/>
      <c r="CR22" s="38">
        <v>8500000</v>
      </c>
      <c r="CS22" s="37" t="s">
        <v>55</v>
      </c>
      <c r="CT22" s="38"/>
      <c r="CU22" s="39">
        <f>CU3-1950000</f>
        <v>-1950000</v>
      </c>
      <c r="CV22" s="24"/>
      <c r="CW22" s="24"/>
      <c r="CX22" s="24"/>
      <c r="CY22" s="24"/>
      <c r="CZ22" s="24"/>
      <c r="DA22" s="24"/>
      <c r="DB22" s="24"/>
    </row>
    <row r="23" spans="1:106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4"/>
      <c r="CK23" s="64"/>
      <c r="CL23" s="64"/>
      <c r="CM23" s="24"/>
      <c r="CN23" s="24"/>
      <c r="CO23" s="24"/>
      <c r="CP23" s="24"/>
      <c r="CQ23" s="24"/>
      <c r="CR23" s="89"/>
      <c r="CS23" s="89"/>
      <c r="CT23" s="89"/>
      <c r="CU23" s="89"/>
      <c r="CV23" s="24"/>
      <c r="CW23" s="24"/>
      <c r="CX23" s="24"/>
      <c r="CY23" s="24"/>
      <c r="CZ23" s="24"/>
      <c r="DA23" s="24"/>
      <c r="DB23" s="24"/>
    </row>
    <row r="24" spans="1:106" ht="15" thickBot="1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8"/>
      <c r="CK24" s="69"/>
      <c r="CL24" s="69"/>
      <c r="CM24" s="70"/>
      <c r="CN24" s="71"/>
      <c r="CO24" s="71"/>
      <c r="CP24" s="72"/>
      <c r="CQ24" s="73"/>
    </row>
    <row r="25" spans="1:106" ht="15" thickTop="1"/>
    <row r="38" ht="25.5" customHeight="1"/>
  </sheetData>
  <sheetProtection password="82E7" sheet="1" objects="1" scenarios="1" selectLockedCells="1"/>
  <protectedRanges>
    <protectedRange password="DDEF" sqref="CL4:CL6" name="範囲1"/>
  </protectedRanges>
  <mergeCells count="79">
    <mergeCell ref="BO15:BY15"/>
    <mergeCell ref="BZ15:CI15"/>
    <mergeCell ref="B16:CI16"/>
    <mergeCell ref="B14:X14"/>
    <mergeCell ref="Y14:AS14"/>
    <mergeCell ref="AT14:BN14"/>
    <mergeCell ref="BO14:CI14"/>
    <mergeCell ref="B15:M15"/>
    <mergeCell ref="N15:X15"/>
    <mergeCell ref="Y15:AI15"/>
    <mergeCell ref="AJ15:AS15"/>
    <mergeCell ref="AT15:BD15"/>
    <mergeCell ref="BE15:BN15"/>
    <mergeCell ref="CE12:CI13"/>
    <mergeCell ref="B13:G13"/>
    <mergeCell ref="H13:L13"/>
    <mergeCell ref="AO12:AR13"/>
    <mergeCell ref="AS12:AW13"/>
    <mergeCell ref="AX12:BA13"/>
    <mergeCell ref="BB12:BF13"/>
    <mergeCell ref="BG12:BJ13"/>
    <mergeCell ref="BK12:BO13"/>
    <mergeCell ref="H12:L12"/>
    <mergeCell ref="M12:Q13"/>
    <mergeCell ref="R12:X13"/>
    <mergeCell ref="Y12:AE13"/>
    <mergeCell ref="B9:S9"/>
    <mergeCell ref="T9:Y9"/>
    <mergeCell ref="AF12:AJ13"/>
    <mergeCell ref="AK12:AN13"/>
    <mergeCell ref="CR10:CT10"/>
    <mergeCell ref="B11:L11"/>
    <mergeCell ref="M11:Q11"/>
    <mergeCell ref="AF11:AN11"/>
    <mergeCell ref="AO11:BA11"/>
    <mergeCell ref="BB11:BJ11"/>
    <mergeCell ref="BP11:BY11"/>
    <mergeCell ref="BZ11:CD11"/>
    <mergeCell ref="B12:G12"/>
    <mergeCell ref="BP12:BT13"/>
    <mergeCell ref="BU12:BY13"/>
    <mergeCell ref="BZ12:CD13"/>
    <mergeCell ref="CE10:CI11"/>
    <mergeCell ref="AQ9:AV9"/>
    <mergeCell ref="AW9:BB9"/>
    <mergeCell ref="BC9:BG9"/>
    <mergeCell ref="BH9:BM9"/>
    <mergeCell ref="BN9:BS9"/>
    <mergeCell ref="BT9:BX9"/>
    <mergeCell ref="B10:Q10"/>
    <mergeCell ref="R10:AE11"/>
    <mergeCell ref="AF10:BJ10"/>
    <mergeCell ref="BK10:BO11"/>
    <mergeCell ref="BP10:CD10"/>
    <mergeCell ref="B8:S8"/>
    <mergeCell ref="T8:AK8"/>
    <mergeCell ref="AL8:BB8"/>
    <mergeCell ref="BC8:BS8"/>
    <mergeCell ref="BT8:CI8"/>
    <mergeCell ref="Z9:AE9"/>
    <mergeCell ref="AF9:AK9"/>
    <mergeCell ref="AL9:AP9"/>
    <mergeCell ref="AX5:CI5"/>
    <mergeCell ref="AX6:BB7"/>
    <mergeCell ref="BC6:CI6"/>
    <mergeCell ref="BY9:CD9"/>
    <mergeCell ref="CE9:CI9"/>
    <mergeCell ref="CR6:CT7"/>
    <mergeCell ref="CU6:CU7"/>
    <mergeCell ref="BC7:CI7"/>
    <mergeCell ref="CT1:CU1"/>
    <mergeCell ref="B2:CI2"/>
    <mergeCell ref="B3:G7"/>
    <mergeCell ref="H3:J7"/>
    <mergeCell ref="K3:AW7"/>
    <mergeCell ref="AX3:CI3"/>
    <mergeCell ref="CR3:CT4"/>
    <mergeCell ref="CU3:CU4"/>
    <mergeCell ref="AX4:CI4"/>
  </mergeCells>
  <phoneticPr fontId="1"/>
  <pageMargins left="0.7" right="0.7" top="0.75" bottom="0.75" header="0.3" footer="0.3"/>
  <pageSetup paperSize="9" scale="9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C00000"/>
    <pageSetUpPr fitToPage="1"/>
  </sheetPr>
  <dimension ref="A1:DV42"/>
  <sheetViews>
    <sheetView showGridLines="0" zoomScale="110" zoomScaleNormal="110" workbookViewId="0">
      <selection activeCell="CQ6" sqref="CQ6:CQ9"/>
    </sheetView>
  </sheetViews>
  <sheetFormatPr defaultColWidth="9" defaultRowHeight="18" customHeight="1"/>
  <cols>
    <col min="1" max="1" width="2.25" style="162" customWidth="1"/>
    <col min="2" max="87" width="1.25" style="163" customWidth="1"/>
    <col min="88" max="88" width="1.25" style="164" customWidth="1"/>
    <col min="89" max="89" width="1.125" style="164" customWidth="1"/>
    <col min="90" max="90" width="1.25" style="164" customWidth="1"/>
    <col min="91" max="93" width="1.25" style="109" customWidth="1"/>
    <col min="94" max="94" width="0" style="101" hidden="1" customWidth="1"/>
    <col min="95" max="95" width="22.125" style="109" customWidth="1"/>
    <col min="96" max="96" width="9" style="165"/>
    <col min="97" max="16384" width="9" style="109"/>
  </cols>
  <sheetData>
    <row r="1" spans="1:126" ht="36" customHeight="1" thickTop="1" thickBot="1">
      <c r="A1" s="92"/>
      <c r="B1" s="93" t="s">
        <v>129</v>
      </c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6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8"/>
      <c r="CK1" s="98"/>
      <c r="CL1" s="98"/>
      <c r="CM1" s="99"/>
      <c r="CN1" s="99"/>
      <c r="CO1" s="100"/>
      <c r="CQ1" s="101"/>
      <c r="CR1" s="102"/>
      <c r="CS1" s="103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5"/>
      <c r="DI1" s="106" t="s">
        <v>70</v>
      </c>
      <c r="DJ1" s="105"/>
      <c r="DK1" s="106"/>
      <c r="DL1" s="105"/>
      <c r="DM1" s="268" t="s">
        <v>28</v>
      </c>
      <c r="DN1" s="269"/>
      <c r="DO1" s="107">
        <v>44197</v>
      </c>
      <c r="DP1" s="108"/>
      <c r="DQ1" s="105"/>
      <c r="DR1" s="105"/>
      <c r="DS1" s="105"/>
      <c r="DT1" s="105"/>
      <c r="DU1" s="105"/>
      <c r="DV1" s="105"/>
    </row>
    <row r="2" spans="1:126" ht="18" customHeight="1" thickTop="1" thickBot="1">
      <c r="A2" s="92"/>
      <c r="B2" s="110" t="s">
        <v>71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2"/>
      <c r="AX2" s="270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2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4"/>
      <c r="CJ2" s="98"/>
      <c r="CK2" s="98"/>
      <c r="CL2" s="98"/>
      <c r="CM2" s="99"/>
      <c r="CN2" s="99"/>
      <c r="CO2" s="100"/>
      <c r="CQ2" s="101"/>
      <c r="CR2" s="102"/>
      <c r="CS2" s="103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</row>
    <row r="3" spans="1:126" ht="18" customHeight="1" thickTop="1" thickBot="1">
      <c r="A3" s="92"/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7" t="s">
        <v>72</v>
      </c>
      <c r="AY3" s="277"/>
      <c r="AZ3" s="277"/>
      <c r="BA3" s="277"/>
      <c r="BB3" s="277"/>
      <c r="BC3" s="277"/>
      <c r="BD3" s="277"/>
      <c r="BE3" s="277"/>
      <c r="BF3" s="277"/>
      <c r="BG3" s="277"/>
      <c r="BH3" s="278"/>
      <c r="BI3" s="278"/>
      <c r="BJ3" s="278"/>
      <c r="BK3" s="278"/>
      <c r="BL3" s="278"/>
      <c r="BM3" s="278"/>
      <c r="BN3" s="278"/>
      <c r="BO3" s="278"/>
      <c r="BP3" s="278"/>
      <c r="BQ3" s="278"/>
      <c r="BR3" s="278"/>
      <c r="BS3" s="278"/>
      <c r="BT3" s="278"/>
      <c r="BU3" s="278"/>
      <c r="BV3" s="278"/>
      <c r="BW3" s="278"/>
      <c r="BX3" s="278"/>
      <c r="BY3" s="278"/>
      <c r="BZ3" s="278"/>
      <c r="CA3" s="278"/>
      <c r="CB3" s="278"/>
      <c r="CC3" s="278"/>
      <c r="CD3" s="278"/>
      <c r="CE3" s="278"/>
      <c r="CF3" s="278"/>
      <c r="CG3" s="278"/>
      <c r="CH3" s="278"/>
      <c r="CI3" s="279"/>
      <c r="CJ3" s="98"/>
      <c r="CK3" s="98"/>
      <c r="CL3" s="98"/>
      <c r="CM3" s="99"/>
      <c r="CN3" s="99"/>
      <c r="CO3" s="100"/>
      <c r="CQ3" s="101"/>
      <c r="CR3" s="102"/>
      <c r="CS3" s="103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5"/>
      <c r="DI3" s="280" t="s">
        <v>33</v>
      </c>
      <c r="DJ3" s="280"/>
      <c r="DK3" s="280"/>
      <c r="DL3" s="280"/>
      <c r="DM3" s="281">
        <v>5000000</v>
      </c>
      <c r="DN3" s="281"/>
      <c r="DO3" s="281"/>
      <c r="DP3" s="113"/>
      <c r="DQ3" s="105"/>
      <c r="DR3" s="105"/>
      <c r="DS3" s="105"/>
      <c r="DT3" s="105"/>
      <c r="DU3" s="105"/>
      <c r="DV3" s="105"/>
    </row>
    <row r="4" spans="1:126" ht="18" customHeight="1" thickTop="1" thickBot="1">
      <c r="A4" s="92"/>
      <c r="B4" s="282" t="s">
        <v>73</v>
      </c>
      <c r="C4" s="266"/>
      <c r="D4" s="266"/>
      <c r="E4" s="266"/>
      <c r="F4" s="266"/>
      <c r="G4" s="266"/>
      <c r="H4" s="266"/>
      <c r="I4" s="266"/>
      <c r="J4" s="267" t="s">
        <v>74</v>
      </c>
      <c r="K4" s="267"/>
      <c r="L4" s="267"/>
      <c r="M4" s="267"/>
      <c r="N4" s="267"/>
      <c r="O4" s="267"/>
      <c r="P4" s="267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3"/>
      <c r="CJ4" s="98"/>
      <c r="CK4" s="98"/>
      <c r="CL4" s="98"/>
      <c r="CM4" s="99"/>
      <c r="CN4" s="99"/>
      <c r="CO4" s="100"/>
      <c r="CQ4" s="101"/>
      <c r="CR4" s="102"/>
      <c r="CS4" s="103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5"/>
      <c r="DI4" s="280"/>
      <c r="DJ4" s="280"/>
      <c r="DK4" s="280"/>
      <c r="DL4" s="280"/>
      <c r="DM4" s="281"/>
      <c r="DN4" s="281"/>
      <c r="DO4" s="281"/>
      <c r="DP4" s="113"/>
      <c r="DQ4" s="105"/>
      <c r="DR4" s="114" t="s">
        <v>75</v>
      </c>
      <c r="DS4" s="105"/>
      <c r="DT4" s="105"/>
      <c r="DU4" s="105"/>
      <c r="DV4" s="105"/>
    </row>
    <row r="5" spans="1:126" ht="18" customHeight="1" thickTop="1" thickBot="1">
      <c r="A5" s="92"/>
      <c r="B5" s="282"/>
      <c r="C5" s="266"/>
      <c r="D5" s="266"/>
      <c r="E5" s="266"/>
      <c r="F5" s="266"/>
      <c r="G5" s="266"/>
      <c r="H5" s="266"/>
      <c r="I5" s="266"/>
      <c r="J5" s="264" t="s">
        <v>76</v>
      </c>
      <c r="K5" s="265"/>
      <c r="L5" s="265"/>
      <c r="M5" s="265"/>
      <c r="N5" s="265"/>
      <c r="O5" s="265"/>
      <c r="P5" s="265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6" t="s">
        <v>77</v>
      </c>
      <c r="BI5" s="267"/>
      <c r="BJ5" s="267"/>
      <c r="BK5" s="267"/>
      <c r="BL5" s="267"/>
      <c r="BM5" s="267"/>
      <c r="BN5" s="267"/>
      <c r="BO5" s="267"/>
      <c r="BP5" s="262" t="s">
        <v>78</v>
      </c>
      <c r="BQ5" s="262"/>
      <c r="BR5" s="262"/>
      <c r="BS5" s="262"/>
      <c r="BT5" s="262"/>
      <c r="BU5" s="262" t="s">
        <v>79</v>
      </c>
      <c r="BV5" s="262"/>
      <c r="BW5" s="262"/>
      <c r="BX5" s="262"/>
      <c r="BY5" s="262"/>
      <c r="BZ5" s="262" t="s">
        <v>80</v>
      </c>
      <c r="CA5" s="262"/>
      <c r="CB5" s="262"/>
      <c r="CC5" s="262"/>
      <c r="CD5" s="262"/>
      <c r="CE5" s="262" t="s">
        <v>81</v>
      </c>
      <c r="CF5" s="262"/>
      <c r="CG5" s="262"/>
      <c r="CH5" s="262"/>
      <c r="CI5" s="263"/>
      <c r="CJ5" s="98"/>
      <c r="CK5" s="98"/>
      <c r="CL5" s="98"/>
      <c r="CM5" s="99"/>
      <c r="CN5" s="99"/>
      <c r="CO5" s="100"/>
      <c r="CQ5" s="115" t="s">
        <v>82</v>
      </c>
      <c r="CR5" s="116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5"/>
      <c r="DI5" s="117"/>
      <c r="DJ5" s="117"/>
      <c r="DK5" s="117"/>
      <c r="DL5" s="117"/>
      <c r="DM5" s="105"/>
      <c r="DN5" s="105"/>
      <c r="DO5" s="107">
        <f>DO8+1</f>
        <v>20456</v>
      </c>
      <c r="DP5" s="107" t="s">
        <v>83</v>
      </c>
      <c r="DQ5" s="105"/>
      <c r="DR5" s="118" t="s">
        <v>84</v>
      </c>
      <c r="DS5" s="105"/>
      <c r="DT5" s="105"/>
      <c r="DU5" s="289" t="s">
        <v>85</v>
      </c>
      <c r="DV5" s="290"/>
    </row>
    <row r="6" spans="1:126" ht="18" customHeight="1" thickTop="1" thickBot="1">
      <c r="A6" s="92"/>
      <c r="B6" s="282"/>
      <c r="C6" s="266"/>
      <c r="D6" s="266"/>
      <c r="E6" s="266"/>
      <c r="F6" s="266"/>
      <c r="G6" s="266"/>
      <c r="H6" s="266"/>
      <c r="I6" s="266"/>
      <c r="J6" s="265"/>
      <c r="K6" s="265"/>
      <c r="L6" s="265"/>
      <c r="M6" s="265"/>
      <c r="N6" s="265"/>
      <c r="O6" s="265"/>
      <c r="P6" s="265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7"/>
      <c r="BI6" s="267"/>
      <c r="BJ6" s="267"/>
      <c r="BK6" s="267"/>
      <c r="BL6" s="267"/>
      <c r="BM6" s="267"/>
      <c r="BN6" s="267"/>
      <c r="BO6" s="267"/>
      <c r="BP6" s="287" t="s">
        <v>86</v>
      </c>
      <c r="BQ6" s="287"/>
      <c r="BR6" s="287"/>
      <c r="BS6" s="287"/>
      <c r="BT6" s="287"/>
      <c r="BU6" s="287"/>
      <c r="BV6" s="287"/>
      <c r="BW6" s="287" t="s">
        <v>87</v>
      </c>
      <c r="BX6" s="287"/>
      <c r="BY6" s="287"/>
      <c r="BZ6" s="287"/>
      <c r="CA6" s="287"/>
      <c r="CB6" s="287"/>
      <c r="CC6" s="287" t="s">
        <v>88</v>
      </c>
      <c r="CD6" s="287"/>
      <c r="CE6" s="287"/>
      <c r="CF6" s="287"/>
      <c r="CG6" s="287"/>
      <c r="CH6" s="287"/>
      <c r="CI6" s="288"/>
      <c r="CJ6" s="98"/>
      <c r="CK6" s="98"/>
      <c r="CL6" s="98"/>
      <c r="CM6" s="99"/>
      <c r="CN6" s="99"/>
      <c r="CO6" s="100"/>
      <c r="CQ6" s="291"/>
      <c r="CR6" s="116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5"/>
      <c r="DI6" s="280" t="s">
        <v>89</v>
      </c>
      <c r="DJ6" s="280"/>
      <c r="DK6" s="280"/>
      <c r="DL6" s="280"/>
      <c r="DM6" s="293">
        <f>MAX(VLOOKUP(CQ6,DJ15:DS19,4),0)</f>
        <v>0</v>
      </c>
      <c r="DN6" s="293"/>
      <c r="DO6" s="293"/>
      <c r="DP6" s="294" t="s">
        <v>90</v>
      </c>
      <c r="DQ6" s="119"/>
      <c r="DR6" s="296">
        <f>MAX(VLOOKUP(CQ6,DJ15:DS19,7),0)</f>
        <v>0</v>
      </c>
      <c r="DS6" s="297"/>
      <c r="DT6" s="105"/>
      <c r="DU6" s="296">
        <f>MAX(VLOOKUP(CQ6,DJ15:DS19,10),0)</f>
        <v>0</v>
      </c>
      <c r="DV6" s="297"/>
    </row>
    <row r="7" spans="1:126" ht="18" customHeight="1" thickTop="1" thickBot="1">
      <c r="A7" s="92"/>
      <c r="B7" s="283" t="s">
        <v>91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  <c r="AI7" s="284"/>
      <c r="AJ7" s="285" t="s">
        <v>38</v>
      </c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 t="s">
        <v>41</v>
      </c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6"/>
      <c r="CJ7" s="98"/>
      <c r="CK7" s="98"/>
      <c r="CL7" s="98"/>
      <c r="CM7" s="99"/>
      <c r="CN7" s="99"/>
      <c r="CO7" s="100"/>
      <c r="CQ7" s="292"/>
      <c r="CR7" s="116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5"/>
      <c r="DI7" s="280"/>
      <c r="DJ7" s="280"/>
      <c r="DK7" s="280"/>
      <c r="DL7" s="280"/>
      <c r="DM7" s="293"/>
      <c r="DN7" s="293"/>
      <c r="DO7" s="293"/>
      <c r="DP7" s="295"/>
      <c r="DQ7" s="119"/>
      <c r="DR7" s="297"/>
      <c r="DS7" s="297"/>
      <c r="DT7" s="105"/>
      <c r="DU7" s="297"/>
      <c r="DV7" s="297"/>
    </row>
    <row r="8" spans="1:126" ht="18" customHeight="1" thickTop="1" thickBot="1">
      <c r="A8" s="92"/>
      <c r="B8" s="283" t="s">
        <v>92</v>
      </c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7" t="s">
        <v>67</v>
      </c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 t="s">
        <v>67</v>
      </c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8"/>
      <c r="CJ8" s="98"/>
      <c r="CK8" s="98"/>
      <c r="CL8" s="98"/>
      <c r="CM8" s="99"/>
      <c r="CN8" s="99"/>
      <c r="CO8" s="100"/>
      <c r="CQ8" s="292"/>
      <c r="CR8" s="116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5"/>
      <c r="DI8" s="117"/>
      <c r="DJ8" s="117"/>
      <c r="DK8" s="117"/>
      <c r="DL8" s="117"/>
      <c r="DM8" s="105"/>
      <c r="DN8" s="105"/>
      <c r="DO8" s="107">
        <f>EDATE(DO1,-780)</f>
        <v>20455</v>
      </c>
      <c r="DP8" s="120" t="s">
        <v>93</v>
      </c>
      <c r="DQ8" s="105"/>
      <c r="DR8" s="121"/>
      <c r="DS8" s="105"/>
      <c r="DT8" s="105"/>
      <c r="DU8" s="105"/>
      <c r="DV8" s="105"/>
    </row>
    <row r="9" spans="1:126" ht="18" customHeight="1" thickTop="1">
      <c r="A9" s="92"/>
      <c r="B9" s="283" t="s">
        <v>94</v>
      </c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  <c r="AI9" s="284"/>
      <c r="AJ9" s="287" t="s">
        <v>67</v>
      </c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 t="s">
        <v>67</v>
      </c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8"/>
      <c r="CJ9" s="98"/>
      <c r="CK9" s="98"/>
      <c r="CL9" s="98"/>
      <c r="CM9" s="99"/>
      <c r="CN9" s="99"/>
      <c r="CO9" s="122"/>
      <c r="CQ9" s="292"/>
      <c r="CR9" s="116" t="s">
        <v>4</v>
      </c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5"/>
      <c r="DI9" s="280" t="s">
        <v>89</v>
      </c>
      <c r="DJ9" s="280"/>
      <c r="DK9" s="280"/>
      <c r="DL9" s="280"/>
      <c r="DM9" s="293">
        <f>MAX(VLOOKUP(CQ6,DJ20:DS24,4),0)</f>
        <v>0</v>
      </c>
      <c r="DN9" s="293"/>
      <c r="DO9" s="293"/>
      <c r="DP9" s="294" t="s">
        <v>95</v>
      </c>
      <c r="DQ9" s="105"/>
      <c r="DR9" s="296">
        <f>MAX(VLOOKUP(CQ6,DJ20:DS24,7),0)</f>
        <v>0</v>
      </c>
      <c r="DS9" s="297"/>
      <c r="DT9" s="105"/>
      <c r="DU9" s="296">
        <f>MAX(VLOOKUP(CQ6,DJ20:DS24,10),0)</f>
        <v>0</v>
      </c>
      <c r="DV9" s="297"/>
    </row>
    <row r="10" spans="1:126" ht="18" customHeight="1">
      <c r="A10" s="92"/>
      <c r="B10" s="283" t="s">
        <v>96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7" t="s">
        <v>67</v>
      </c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 t="s">
        <v>67</v>
      </c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8"/>
      <c r="CJ10" s="98"/>
      <c r="CK10" s="98"/>
      <c r="CL10" s="98"/>
      <c r="CM10" s="99"/>
      <c r="CN10" s="99"/>
      <c r="CO10" s="123"/>
      <c r="CQ10" s="124"/>
      <c r="CR10" s="116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5"/>
      <c r="DI10" s="280"/>
      <c r="DJ10" s="280"/>
      <c r="DK10" s="280"/>
      <c r="DL10" s="280"/>
      <c r="DM10" s="293"/>
      <c r="DN10" s="293"/>
      <c r="DO10" s="293"/>
      <c r="DP10" s="295"/>
      <c r="DQ10" s="105"/>
      <c r="DR10" s="297"/>
      <c r="DS10" s="297"/>
      <c r="DT10" s="105"/>
      <c r="DU10" s="297"/>
      <c r="DV10" s="297"/>
    </row>
    <row r="11" spans="1:126" ht="18" customHeight="1" thickBot="1">
      <c r="A11" s="92"/>
      <c r="B11" s="283" t="s">
        <v>97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7" t="s">
        <v>67</v>
      </c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 t="s">
        <v>67</v>
      </c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8"/>
      <c r="CJ11" s="98"/>
      <c r="CK11" s="98"/>
      <c r="CL11" s="98"/>
      <c r="CM11" s="99"/>
      <c r="CN11" s="99"/>
      <c r="CO11" s="125"/>
      <c r="CQ11" s="101"/>
      <c r="CR11" s="116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5"/>
      <c r="DI11" s="126"/>
      <c r="DJ11" s="126"/>
      <c r="DK11" s="126"/>
      <c r="DL11" s="126"/>
      <c r="DM11" s="127"/>
      <c r="DN11" s="127"/>
      <c r="DO11" s="127"/>
      <c r="DP11" s="119"/>
      <c r="DQ11" s="105"/>
      <c r="DR11" s="128"/>
      <c r="DS11" s="128"/>
      <c r="DT11" s="105"/>
      <c r="DU11" s="128"/>
      <c r="DV11" s="128"/>
    </row>
    <row r="12" spans="1:126" ht="18" customHeight="1" thickTop="1" thickBot="1">
      <c r="A12" s="92"/>
      <c r="B12" s="283" t="s">
        <v>98</v>
      </c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62" t="s">
        <v>99</v>
      </c>
      <c r="U12" s="262"/>
      <c r="V12" s="262"/>
      <c r="W12" s="262"/>
      <c r="X12" s="262"/>
      <c r="Y12" s="262"/>
      <c r="Z12" s="262"/>
      <c r="AA12" s="262"/>
      <c r="AB12" s="262"/>
      <c r="AC12" s="262"/>
      <c r="AD12" s="262" t="s">
        <v>100</v>
      </c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98" t="s">
        <v>101</v>
      </c>
      <c r="AT12" s="262"/>
      <c r="AU12" s="262"/>
      <c r="AV12" s="262"/>
      <c r="AW12" s="262"/>
      <c r="AX12" s="262"/>
      <c r="AY12" s="262"/>
      <c r="AZ12" s="285" t="s">
        <v>102</v>
      </c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62"/>
      <c r="BO12" s="262"/>
      <c r="BP12" s="262"/>
      <c r="BQ12" s="262"/>
      <c r="BR12" s="262"/>
      <c r="BS12" s="265" t="s">
        <v>103</v>
      </c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303"/>
      <c r="CJ12" s="98"/>
      <c r="CK12" s="98"/>
      <c r="CL12" s="98"/>
      <c r="CM12" s="99"/>
      <c r="CN12" s="99"/>
      <c r="CO12" s="100"/>
      <c r="CQ12" s="101"/>
      <c r="CR12" s="116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</row>
    <row r="13" spans="1:126" ht="18" customHeight="1" thickTop="1" thickBot="1">
      <c r="A13" s="92"/>
      <c r="B13" s="304" t="s">
        <v>104</v>
      </c>
      <c r="C13" s="305"/>
      <c r="D13" s="305"/>
      <c r="E13" s="305"/>
      <c r="F13" s="305"/>
      <c r="G13" s="306" t="s">
        <v>105</v>
      </c>
      <c r="H13" s="305"/>
      <c r="I13" s="305"/>
      <c r="J13" s="305"/>
      <c r="K13" s="306" t="s">
        <v>106</v>
      </c>
      <c r="L13" s="305"/>
      <c r="M13" s="305"/>
      <c r="N13" s="305"/>
      <c r="O13" s="306" t="s">
        <v>107</v>
      </c>
      <c r="P13" s="305"/>
      <c r="Q13" s="305"/>
      <c r="R13" s="305"/>
      <c r="S13" s="305"/>
      <c r="T13" s="265" t="s">
        <v>108</v>
      </c>
      <c r="U13" s="265"/>
      <c r="V13" s="265"/>
      <c r="W13" s="265"/>
      <c r="X13" s="265"/>
      <c r="Y13" s="265" t="s">
        <v>51</v>
      </c>
      <c r="Z13" s="265"/>
      <c r="AA13" s="265"/>
      <c r="AB13" s="265"/>
      <c r="AC13" s="265"/>
      <c r="AD13" s="265" t="s">
        <v>52</v>
      </c>
      <c r="AE13" s="265"/>
      <c r="AF13" s="265"/>
      <c r="AG13" s="265"/>
      <c r="AH13" s="265"/>
      <c r="AI13" s="265" t="s">
        <v>109</v>
      </c>
      <c r="AJ13" s="265"/>
      <c r="AK13" s="265"/>
      <c r="AL13" s="265"/>
      <c r="AM13" s="265"/>
      <c r="AN13" s="265" t="s">
        <v>53</v>
      </c>
      <c r="AO13" s="265"/>
      <c r="AP13" s="265"/>
      <c r="AQ13" s="265"/>
      <c r="AR13" s="265"/>
      <c r="AS13" s="262"/>
      <c r="AT13" s="262"/>
      <c r="AU13" s="262"/>
      <c r="AV13" s="262"/>
      <c r="AW13" s="262"/>
      <c r="AX13" s="262"/>
      <c r="AY13" s="262"/>
      <c r="AZ13" s="265" t="s">
        <v>54</v>
      </c>
      <c r="BA13" s="265"/>
      <c r="BB13" s="265"/>
      <c r="BC13" s="265"/>
      <c r="BD13" s="265"/>
      <c r="BE13" s="265"/>
      <c r="BF13" s="265"/>
      <c r="BG13" s="265"/>
      <c r="BH13" s="265"/>
      <c r="BI13" s="265" t="s">
        <v>53</v>
      </c>
      <c r="BJ13" s="265"/>
      <c r="BK13" s="265"/>
      <c r="BL13" s="265"/>
      <c r="BM13" s="265"/>
      <c r="BN13" s="262"/>
      <c r="BO13" s="262"/>
      <c r="BP13" s="262"/>
      <c r="BQ13" s="262"/>
      <c r="BR13" s="262"/>
      <c r="BS13" s="265"/>
      <c r="BT13" s="265"/>
      <c r="BU13" s="265"/>
      <c r="BV13" s="265"/>
      <c r="BW13" s="265"/>
      <c r="BX13" s="265"/>
      <c r="BY13" s="265"/>
      <c r="BZ13" s="265"/>
      <c r="CA13" s="265"/>
      <c r="CB13" s="265"/>
      <c r="CC13" s="265"/>
      <c r="CD13" s="265"/>
      <c r="CE13" s="265"/>
      <c r="CF13" s="265"/>
      <c r="CG13" s="265"/>
      <c r="CH13" s="265"/>
      <c r="CI13" s="303"/>
      <c r="CJ13" s="98"/>
      <c r="CK13" s="98"/>
      <c r="CL13" s="98"/>
      <c r="CM13" s="99"/>
      <c r="CN13" s="99"/>
      <c r="CO13" s="100"/>
      <c r="CQ13" s="101"/>
      <c r="CR13" s="116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5"/>
      <c r="DI13" s="301" t="s">
        <v>110</v>
      </c>
      <c r="DJ13" s="301"/>
      <c r="DK13" s="301"/>
      <c r="DL13" s="301"/>
      <c r="DM13" s="129"/>
      <c r="DN13" s="129"/>
      <c r="DO13" s="129"/>
      <c r="DP13" s="129"/>
      <c r="DQ13" s="129"/>
      <c r="DR13" s="129"/>
      <c r="DS13" s="129"/>
      <c r="DT13" s="129"/>
      <c r="DU13" s="129"/>
      <c r="DV13" s="105"/>
    </row>
    <row r="14" spans="1:126" ht="18" customHeight="1" thickTop="1" thickBot="1">
      <c r="A14" s="92"/>
      <c r="B14" s="302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99" t="s">
        <v>61</v>
      </c>
      <c r="AE14" s="299"/>
      <c r="AF14" s="299"/>
      <c r="AG14" s="299"/>
      <c r="AH14" s="299"/>
      <c r="AI14" s="299" t="s">
        <v>61</v>
      </c>
      <c r="AJ14" s="299"/>
      <c r="AK14" s="299"/>
      <c r="AL14" s="299"/>
      <c r="AM14" s="299"/>
      <c r="AN14" s="299" t="s">
        <v>61</v>
      </c>
      <c r="AO14" s="299"/>
      <c r="AP14" s="299"/>
      <c r="AQ14" s="299"/>
      <c r="AR14" s="299"/>
      <c r="AS14" s="299" t="s">
        <v>61</v>
      </c>
      <c r="AT14" s="299"/>
      <c r="AU14" s="299"/>
      <c r="AV14" s="299"/>
      <c r="AW14" s="299"/>
      <c r="AX14" s="299"/>
      <c r="AY14" s="299"/>
      <c r="AZ14" s="299" t="s">
        <v>42</v>
      </c>
      <c r="BA14" s="299"/>
      <c r="BB14" s="299"/>
      <c r="BC14" s="299"/>
      <c r="BD14" s="299" t="s">
        <v>0</v>
      </c>
      <c r="BE14" s="299"/>
      <c r="BF14" s="299"/>
      <c r="BG14" s="299"/>
      <c r="BH14" s="299"/>
      <c r="BI14" s="299" t="s">
        <v>61</v>
      </c>
      <c r="BJ14" s="299"/>
      <c r="BK14" s="299"/>
      <c r="BL14" s="299"/>
      <c r="BM14" s="299"/>
      <c r="BN14" s="299" t="s">
        <v>61</v>
      </c>
      <c r="BO14" s="299"/>
      <c r="BP14" s="299"/>
      <c r="BQ14" s="299"/>
      <c r="BR14" s="299"/>
      <c r="BS14" s="299" t="s">
        <v>4</v>
      </c>
      <c r="BT14" s="299"/>
      <c r="BU14" s="299"/>
      <c r="BV14" s="299"/>
      <c r="BW14" s="299"/>
      <c r="BX14" s="299"/>
      <c r="BY14" s="299"/>
      <c r="BZ14" s="299"/>
      <c r="CA14" s="299"/>
      <c r="CB14" s="299"/>
      <c r="CC14" s="299"/>
      <c r="CD14" s="299"/>
      <c r="CE14" s="299"/>
      <c r="CF14" s="299"/>
      <c r="CG14" s="299"/>
      <c r="CH14" s="299"/>
      <c r="CI14" s="300"/>
      <c r="CJ14" s="130"/>
      <c r="CK14" s="98"/>
      <c r="CL14" s="98"/>
      <c r="CM14" s="99"/>
      <c r="CN14" s="99"/>
      <c r="CO14" s="100"/>
      <c r="CQ14" s="115" t="s">
        <v>128</v>
      </c>
      <c r="CR14" s="116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5"/>
      <c r="DI14" s="301"/>
      <c r="DJ14" s="301"/>
      <c r="DK14" s="301"/>
      <c r="DL14" s="301"/>
      <c r="DM14" s="131">
        <v>0</v>
      </c>
      <c r="DN14" s="132" t="s">
        <v>55</v>
      </c>
      <c r="DO14" s="131">
        <v>10000000</v>
      </c>
      <c r="DP14" s="131">
        <v>10000001</v>
      </c>
      <c r="DQ14" s="132" t="s">
        <v>55</v>
      </c>
      <c r="DR14" s="131">
        <v>20000000</v>
      </c>
      <c r="DS14" s="131">
        <v>20000001</v>
      </c>
      <c r="DT14" s="132" t="s">
        <v>55</v>
      </c>
      <c r="DU14" s="131"/>
      <c r="DV14" s="105"/>
    </row>
    <row r="15" spans="1:126" ht="18" customHeight="1" thickTop="1" thickBot="1">
      <c r="A15" s="92"/>
      <c r="B15" s="302" t="s">
        <v>111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4" t="s">
        <v>112</v>
      </c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 t="s">
        <v>113</v>
      </c>
      <c r="BH15" s="264"/>
      <c r="BI15" s="264"/>
      <c r="BJ15" s="264"/>
      <c r="BK15" s="264"/>
      <c r="BL15" s="264"/>
      <c r="BM15" s="264"/>
      <c r="BN15" s="264"/>
      <c r="BO15" s="264"/>
      <c r="BP15" s="264"/>
      <c r="BQ15" s="264"/>
      <c r="BR15" s="264"/>
      <c r="BS15" s="264"/>
      <c r="BT15" s="264"/>
      <c r="BU15" s="264"/>
      <c r="BV15" s="264"/>
      <c r="BW15" s="264"/>
      <c r="BX15" s="264"/>
      <c r="BY15" s="264"/>
      <c r="BZ15" s="264"/>
      <c r="CA15" s="264"/>
      <c r="CB15" s="264"/>
      <c r="CC15" s="264"/>
      <c r="CD15" s="264"/>
      <c r="CE15" s="264"/>
      <c r="CF15" s="264"/>
      <c r="CG15" s="264"/>
      <c r="CH15" s="264"/>
      <c r="CI15" s="310"/>
      <c r="CJ15" s="98"/>
      <c r="CK15" s="98"/>
      <c r="CL15" s="98"/>
      <c r="CM15" s="99"/>
      <c r="CN15" s="99"/>
      <c r="CO15" s="100"/>
      <c r="CQ15" s="133" t="s">
        <v>161</v>
      </c>
      <c r="CR15" s="116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5"/>
      <c r="DI15" s="311" t="s">
        <v>114</v>
      </c>
      <c r="DJ15" s="131">
        <v>0</v>
      </c>
      <c r="DK15" s="132" t="s">
        <v>55</v>
      </c>
      <c r="DL15" s="131">
        <v>1300000</v>
      </c>
      <c r="DM15" s="307">
        <f>$CQ$6-600000</f>
        <v>-600000</v>
      </c>
      <c r="DN15" s="307"/>
      <c r="DO15" s="307"/>
      <c r="DP15" s="307">
        <f>CQ6-500000</f>
        <v>-500000</v>
      </c>
      <c r="DQ15" s="307"/>
      <c r="DR15" s="307"/>
      <c r="DS15" s="307">
        <f>CQ6-400000</f>
        <v>-400000</v>
      </c>
      <c r="DT15" s="307"/>
      <c r="DU15" s="307"/>
      <c r="DV15" s="105"/>
    </row>
    <row r="16" spans="1:126" ht="18" customHeight="1" thickTop="1" thickBot="1">
      <c r="A16" s="92"/>
      <c r="B16" s="308" t="s">
        <v>115</v>
      </c>
      <c r="C16" s="298"/>
      <c r="D16" s="298"/>
      <c r="E16" s="298"/>
      <c r="F16" s="298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 t="s">
        <v>116</v>
      </c>
      <c r="Z16" s="264"/>
      <c r="AA16" s="264"/>
      <c r="AB16" s="309" t="s">
        <v>117</v>
      </c>
      <c r="AC16" s="309"/>
      <c r="AD16" s="309"/>
      <c r="AE16" s="309"/>
      <c r="AF16" s="309"/>
      <c r="AG16" s="309"/>
      <c r="AH16" s="309"/>
      <c r="AI16" s="309"/>
      <c r="AJ16" s="305">
        <v>1</v>
      </c>
      <c r="AK16" s="298" t="s">
        <v>115</v>
      </c>
      <c r="AL16" s="298"/>
      <c r="AM16" s="298"/>
      <c r="AN16" s="298"/>
      <c r="AO16" s="298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4" t="s">
        <v>116</v>
      </c>
      <c r="BH16" s="264"/>
      <c r="BI16" s="264"/>
      <c r="BJ16" s="305">
        <v>1</v>
      </c>
      <c r="BK16" s="298" t="s">
        <v>115</v>
      </c>
      <c r="BL16" s="298"/>
      <c r="BM16" s="298"/>
      <c r="BN16" s="298"/>
      <c r="BO16" s="298"/>
      <c r="BP16" s="265"/>
      <c r="BQ16" s="26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65"/>
      <c r="CC16" s="265"/>
      <c r="CD16" s="265"/>
      <c r="CE16" s="265"/>
      <c r="CF16" s="265"/>
      <c r="CG16" s="264" t="s">
        <v>116</v>
      </c>
      <c r="CH16" s="264"/>
      <c r="CI16" s="310"/>
      <c r="CJ16" s="134"/>
      <c r="CK16" s="134"/>
      <c r="CL16" s="134"/>
      <c r="CM16" s="98"/>
      <c r="CN16" s="98"/>
      <c r="CO16" s="135"/>
      <c r="CP16" s="136"/>
      <c r="CQ16" s="312">
        <f>DM6</f>
        <v>0</v>
      </c>
      <c r="CR16" s="116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5"/>
      <c r="DI16" s="311"/>
      <c r="DJ16" s="131">
        <v>1300001</v>
      </c>
      <c r="DK16" s="132" t="s">
        <v>55</v>
      </c>
      <c r="DL16" s="131">
        <v>4100000</v>
      </c>
      <c r="DM16" s="307">
        <f>CQ6*0.75-275000</f>
        <v>-275000</v>
      </c>
      <c r="DN16" s="307"/>
      <c r="DO16" s="307"/>
      <c r="DP16" s="307">
        <f>CQ6*0.75-175000</f>
        <v>-175000</v>
      </c>
      <c r="DQ16" s="307"/>
      <c r="DR16" s="307"/>
      <c r="DS16" s="307">
        <f>CQ6*0.75-75000</f>
        <v>-75000</v>
      </c>
      <c r="DT16" s="307"/>
      <c r="DU16" s="307"/>
      <c r="DV16" s="105"/>
    </row>
    <row r="17" spans="1:126" ht="18" customHeight="1" thickTop="1" thickBot="1">
      <c r="A17" s="92"/>
      <c r="B17" s="308"/>
      <c r="C17" s="298"/>
      <c r="D17" s="298"/>
      <c r="E17" s="298"/>
      <c r="F17" s="298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305"/>
      <c r="AK17" s="298"/>
      <c r="AL17" s="298"/>
      <c r="AM17" s="298"/>
      <c r="AN17" s="298"/>
      <c r="AO17" s="298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4"/>
      <c r="BH17" s="264"/>
      <c r="BI17" s="264"/>
      <c r="BJ17" s="305"/>
      <c r="BK17" s="298"/>
      <c r="BL17" s="298"/>
      <c r="BM17" s="298"/>
      <c r="BN17" s="298"/>
      <c r="BO17" s="298"/>
      <c r="BP17" s="265"/>
      <c r="BQ17" s="265"/>
      <c r="BR17" s="265"/>
      <c r="BS17" s="265"/>
      <c r="BT17" s="265"/>
      <c r="BU17" s="265"/>
      <c r="BV17" s="265"/>
      <c r="BW17" s="265"/>
      <c r="BX17" s="265"/>
      <c r="BY17" s="265"/>
      <c r="BZ17" s="265"/>
      <c r="CA17" s="265"/>
      <c r="CB17" s="265"/>
      <c r="CC17" s="265"/>
      <c r="CD17" s="265"/>
      <c r="CE17" s="265"/>
      <c r="CF17" s="265"/>
      <c r="CG17" s="264"/>
      <c r="CH17" s="264"/>
      <c r="CI17" s="310"/>
      <c r="CJ17" s="137"/>
      <c r="CK17" s="137"/>
      <c r="CL17" s="137"/>
      <c r="CM17" s="98"/>
      <c r="CN17" s="98"/>
      <c r="CO17" s="135"/>
      <c r="CP17" s="136"/>
      <c r="CQ17" s="313"/>
      <c r="CR17" s="116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5"/>
      <c r="DI17" s="311"/>
      <c r="DJ17" s="131">
        <v>4100001</v>
      </c>
      <c r="DK17" s="132" t="s">
        <v>55</v>
      </c>
      <c r="DL17" s="131">
        <v>7700000</v>
      </c>
      <c r="DM17" s="307">
        <f>CQ6*0.85-685000</f>
        <v>-685000</v>
      </c>
      <c r="DN17" s="307"/>
      <c r="DO17" s="307"/>
      <c r="DP17" s="307">
        <f>CQ6*0.85-585000</f>
        <v>-585000</v>
      </c>
      <c r="DQ17" s="307"/>
      <c r="DR17" s="307"/>
      <c r="DS17" s="307">
        <f>CQ6*0.85-485000</f>
        <v>-485000</v>
      </c>
      <c r="DT17" s="307"/>
      <c r="DU17" s="307"/>
      <c r="DV17" s="105"/>
    </row>
    <row r="18" spans="1:126" ht="18" customHeight="1" thickTop="1" thickBot="1">
      <c r="A18" s="92"/>
      <c r="B18" s="322" t="s">
        <v>118</v>
      </c>
      <c r="C18" s="323"/>
      <c r="D18" s="323"/>
      <c r="E18" s="323"/>
      <c r="F18" s="323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5"/>
      <c r="AG18" s="325"/>
      <c r="AH18" s="325"/>
      <c r="AI18" s="325"/>
      <c r="AJ18" s="305"/>
      <c r="AK18" s="138" t="s">
        <v>118</v>
      </c>
      <c r="AL18" s="138"/>
      <c r="AM18" s="138"/>
      <c r="AN18" s="138"/>
      <c r="AO18" s="138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  <c r="BJ18" s="305"/>
      <c r="BK18" s="138" t="s">
        <v>118</v>
      </c>
      <c r="BL18" s="138"/>
      <c r="BM18" s="138"/>
      <c r="BN18" s="138"/>
      <c r="BO18" s="138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26"/>
      <c r="CI18" s="327"/>
      <c r="CJ18" s="137"/>
      <c r="CK18" s="137"/>
      <c r="CL18" s="137"/>
      <c r="CM18" s="98"/>
      <c r="CN18" s="98"/>
      <c r="CO18" s="135"/>
      <c r="CP18" s="136"/>
      <c r="CQ18" s="313"/>
      <c r="CR18" s="116" t="s">
        <v>4</v>
      </c>
      <c r="CS18" s="104"/>
      <c r="CT18" s="104"/>
      <c r="CU18" s="139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5"/>
      <c r="DI18" s="311"/>
      <c r="DJ18" s="131">
        <v>7700001</v>
      </c>
      <c r="DK18" s="132" t="s">
        <v>55</v>
      </c>
      <c r="DL18" s="131">
        <v>10000000</v>
      </c>
      <c r="DM18" s="307">
        <f>CQ6*0.95-1455000</f>
        <v>-1455000</v>
      </c>
      <c r="DN18" s="307"/>
      <c r="DO18" s="307"/>
      <c r="DP18" s="307">
        <f>CQ6*0.95-1355000</f>
        <v>-1355000</v>
      </c>
      <c r="DQ18" s="307"/>
      <c r="DR18" s="307"/>
      <c r="DS18" s="307">
        <f>CQ6*0.95-1255000</f>
        <v>-1255000</v>
      </c>
      <c r="DT18" s="307"/>
      <c r="DU18" s="307"/>
      <c r="DV18" s="105"/>
    </row>
    <row r="19" spans="1:126" ht="18" customHeight="1" thickTop="1" thickBot="1">
      <c r="A19" s="92"/>
      <c r="B19" s="314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6"/>
      <c r="AJ19" s="321">
        <v>2</v>
      </c>
      <c r="AK19" s="298" t="s">
        <v>115</v>
      </c>
      <c r="AL19" s="298"/>
      <c r="AM19" s="298"/>
      <c r="AN19" s="298"/>
      <c r="AO19" s="298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4" t="s">
        <v>116</v>
      </c>
      <c r="BH19" s="264"/>
      <c r="BI19" s="264"/>
      <c r="BJ19" s="305">
        <v>2</v>
      </c>
      <c r="BK19" s="298" t="s">
        <v>115</v>
      </c>
      <c r="BL19" s="298"/>
      <c r="BM19" s="298"/>
      <c r="BN19" s="298"/>
      <c r="BO19" s="298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65"/>
      <c r="CC19" s="265"/>
      <c r="CD19" s="265"/>
      <c r="CE19" s="265"/>
      <c r="CF19" s="265"/>
      <c r="CG19" s="264" t="s">
        <v>116</v>
      </c>
      <c r="CH19" s="264"/>
      <c r="CI19" s="310"/>
      <c r="CJ19" s="98"/>
      <c r="CK19" s="98"/>
      <c r="CL19" s="98"/>
      <c r="CM19" s="99"/>
      <c r="CN19" s="99"/>
      <c r="CO19" s="100"/>
      <c r="CQ19" s="133" t="s">
        <v>155</v>
      </c>
      <c r="CR19" s="140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5"/>
      <c r="DI19" s="311"/>
      <c r="DJ19" s="131">
        <v>10000001</v>
      </c>
      <c r="DK19" s="132" t="s">
        <v>55</v>
      </c>
      <c r="DL19" s="131"/>
      <c r="DM19" s="307">
        <f>CQ6-1955000</f>
        <v>-1955000</v>
      </c>
      <c r="DN19" s="307"/>
      <c r="DO19" s="307"/>
      <c r="DP19" s="307">
        <f>CQ6-1855000</f>
        <v>-1855000</v>
      </c>
      <c r="DQ19" s="307"/>
      <c r="DR19" s="307"/>
      <c r="DS19" s="307">
        <f>CQ6-1755000</f>
        <v>-1755000</v>
      </c>
      <c r="DT19" s="307"/>
      <c r="DU19" s="307"/>
      <c r="DV19" s="105"/>
    </row>
    <row r="20" spans="1:126" ht="18" customHeight="1" thickTop="1" thickBot="1">
      <c r="A20" s="92"/>
      <c r="B20" s="302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317"/>
      <c r="AJ20" s="321"/>
      <c r="AK20" s="298"/>
      <c r="AL20" s="298"/>
      <c r="AM20" s="298"/>
      <c r="AN20" s="298"/>
      <c r="AO20" s="298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4"/>
      <c r="BH20" s="264"/>
      <c r="BI20" s="264"/>
      <c r="BJ20" s="305"/>
      <c r="BK20" s="298"/>
      <c r="BL20" s="298"/>
      <c r="BM20" s="298"/>
      <c r="BN20" s="298"/>
      <c r="BO20" s="298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65"/>
      <c r="CC20" s="265"/>
      <c r="CD20" s="265"/>
      <c r="CE20" s="265"/>
      <c r="CF20" s="265"/>
      <c r="CG20" s="264"/>
      <c r="CH20" s="264"/>
      <c r="CI20" s="310"/>
      <c r="CJ20" s="98"/>
      <c r="CK20" s="98"/>
      <c r="CL20" s="98"/>
      <c r="CM20" s="99"/>
      <c r="CN20" s="99"/>
      <c r="CO20" s="100"/>
      <c r="CQ20" s="312">
        <f>DM9</f>
        <v>0</v>
      </c>
      <c r="CR20" s="116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5"/>
      <c r="DI20" s="311" t="s">
        <v>119</v>
      </c>
      <c r="DJ20" s="131">
        <v>0</v>
      </c>
      <c r="DK20" s="132" t="s">
        <v>55</v>
      </c>
      <c r="DL20" s="131">
        <v>3300000</v>
      </c>
      <c r="DM20" s="307">
        <f>CQ6-1100000</f>
        <v>-1100000</v>
      </c>
      <c r="DN20" s="307"/>
      <c r="DO20" s="307"/>
      <c r="DP20" s="307">
        <f>CQ6-1000000</f>
        <v>-1000000</v>
      </c>
      <c r="DQ20" s="307"/>
      <c r="DR20" s="307"/>
      <c r="DS20" s="307">
        <f>CQ6-900000</f>
        <v>-900000</v>
      </c>
      <c r="DT20" s="307"/>
      <c r="DU20" s="307"/>
      <c r="DV20" s="105"/>
    </row>
    <row r="21" spans="1:126" ht="18" customHeight="1" thickTop="1" thickBot="1">
      <c r="A21" s="92"/>
      <c r="B21" s="318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20"/>
      <c r="AJ21" s="321"/>
      <c r="AK21" s="138" t="s">
        <v>118</v>
      </c>
      <c r="AL21" s="138"/>
      <c r="AM21" s="138"/>
      <c r="AN21" s="138"/>
      <c r="AO21" s="138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05"/>
      <c r="BK21" s="138" t="s">
        <v>118</v>
      </c>
      <c r="BL21" s="138"/>
      <c r="BM21" s="138"/>
      <c r="BN21" s="138"/>
      <c r="BO21" s="138"/>
      <c r="BP21" s="326"/>
      <c r="BQ21" s="326"/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26"/>
      <c r="CI21" s="327"/>
      <c r="CJ21" s="98"/>
      <c r="CK21" s="98"/>
      <c r="CL21" s="98"/>
      <c r="CM21" s="99"/>
      <c r="CN21" s="99"/>
      <c r="CO21" s="100"/>
      <c r="CQ21" s="313"/>
      <c r="CR21" s="116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5"/>
      <c r="DI21" s="311"/>
      <c r="DJ21" s="131">
        <v>3300001</v>
      </c>
      <c r="DK21" s="132" t="s">
        <v>55</v>
      </c>
      <c r="DL21" s="131">
        <v>4100000</v>
      </c>
      <c r="DM21" s="307">
        <f>CQ6*0.75-275000</f>
        <v>-275000</v>
      </c>
      <c r="DN21" s="307"/>
      <c r="DO21" s="307"/>
      <c r="DP21" s="307">
        <f>CQ6*0.75-175000</f>
        <v>-175000</v>
      </c>
      <c r="DQ21" s="307"/>
      <c r="DR21" s="307"/>
      <c r="DS21" s="307">
        <f>CQ6*0.75-75000</f>
        <v>-75000</v>
      </c>
      <c r="DT21" s="307"/>
      <c r="DU21" s="307"/>
      <c r="DV21" s="105"/>
    </row>
    <row r="22" spans="1:126" ht="18" customHeight="1" thickTop="1" thickBot="1">
      <c r="A22" s="92"/>
      <c r="B22" s="330" t="s">
        <v>120</v>
      </c>
      <c r="C22" s="331"/>
      <c r="D22" s="331"/>
      <c r="E22" s="331"/>
      <c r="F22" s="331"/>
      <c r="G22" s="331"/>
      <c r="H22" s="331"/>
      <c r="I22" s="331"/>
      <c r="J22" s="335" t="s">
        <v>121</v>
      </c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5"/>
      <c r="AE22" s="335"/>
      <c r="AF22" s="335"/>
      <c r="AG22" s="335"/>
      <c r="AH22" s="335"/>
      <c r="AI22" s="335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2"/>
      <c r="BA22" s="262"/>
      <c r="BB22" s="262"/>
      <c r="BC22" s="262"/>
      <c r="BD22" s="262"/>
      <c r="BE22" s="262"/>
      <c r="BF22" s="262"/>
      <c r="BG22" s="262"/>
      <c r="BH22" s="262"/>
      <c r="BI22" s="262"/>
      <c r="BJ22" s="262"/>
      <c r="BK22" s="262"/>
      <c r="BL22" s="262"/>
      <c r="BM22" s="262"/>
      <c r="BN22" s="262"/>
      <c r="BO22" s="262"/>
      <c r="BP22" s="262"/>
      <c r="BQ22" s="262"/>
      <c r="BR22" s="262"/>
      <c r="BS22" s="262"/>
      <c r="BT22" s="262"/>
      <c r="BU22" s="262"/>
      <c r="BV22" s="262"/>
      <c r="BW22" s="262"/>
      <c r="BX22" s="262"/>
      <c r="BY22" s="262"/>
      <c r="BZ22" s="262"/>
      <c r="CA22" s="262"/>
      <c r="CB22" s="262"/>
      <c r="CC22" s="262"/>
      <c r="CD22" s="262"/>
      <c r="CE22" s="262"/>
      <c r="CF22" s="262"/>
      <c r="CG22" s="262"/>
      <c r="CH22" s="262"/>
      <c r="CI22" s="263"/>
      <c r="CJ22" s="98"/>
      <c r="CK22" s="98"/>
      <c r="CL22" s="98"/>
      <c r="CM22" s="99"/>
      <c r="CN22" s="99"/>
      <c r="CO22" s="100"/>
      <c r="CQ22" s="313"/>
      <c r="CR22" s="116" t="s">
        <v>4</v>
      </c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5"/>
      <c r="DI22" s="311"/>
      <c r="DJ22" s="131">
        <v>4100001</v>
      </c>
      <c r="DK22" s="132" t="s">
        <v>55</v>
      </c>
      <c r="DL22" s="131">
        <v>7700000</v>
      </c>
      <c r="DM22" s="307">
        <f>CQ6*0.85-685000</f>
        <v>-685000</v>
      </c>
      <c r="DN22" s="307"/>
      <c r="DO22" s="307"/>
      <c r="DP22" s="307">
        <f>CQ6*0.85-585000</f>
        <v>-585000</v>
      </c>
      <c r="DQ22" s="307"/>
      <c r="DR22" s="307"/>
      <c r="DS22" s="307">
        <f>CQ6*0.85-485000</f>
        <v>-485000</v>
      </c>
      <c r="DT22" s="307"/>
      <c r="DU22" s="307"/>
      <c r="DV22" s="105"/>
    </row>
    <row r="23" spans="1:126" ht="18" customHeight="1" thickTop="1" thickBot="1">
      <c r="A23" s="92"/>
      <c r="B23" s="332"/>
      <c r="C23" s="267"/>
      <c r="D23" s="267"/>
      <c r="E23" s="267"/>
      <c r="F23" s="267"/>
      <c r="G23" s="267"/>
      <c r="H23" s="267"/>
      <c r="I23" s="267"/>
      <c r="J23" s="262" t="s">
        <v>122</v>
      </c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262"/>
      <c r="AX23" s="262"/>
      <c r="AY23" s="262"/>
      <c r="AZ23" s="262"/>
      <c r="BA23" s="262"/>
      <c r="BB23" s="262"/>
      <c r="BC23" s="262"/>
      <c r="BD23" s="262"/>
      <c r="BE23" s="262"/>
      <c r="BF23" s="262"/>
      <c r="BG23" s="262"/>
      <c r="BH23" s="262"/>
      <c r="BI23" s="262"/>
      <c r="BJ23" s="262"/>
      <c r="BK23" s="262"/>
      <c r="BL23" s="262"/>
      <c r="BM23" s="262"/>
      <c r="BN23" s="262"/>
      <c r="BO23" s="262"/>
      <c r="BP23" s="262"/>
      <c r="BQ23" s="262"/>
      <c r="BR23" s="262"/>
      <c r="BS23" s="262"/>
      <c r="BT23" s="262"/>
      <c r="BU23" s="262"/>
      <c r="BV23" s="262"/>
      <c r="BW23" s="262"/>
      <c r="BX23" s="262"/>
      <c r="BY23" s="262"/>
      <c r="BZ23" s="262"/>
      <c r="CA23" s="262"/>
      <c r="CB23" s="262"/>
      <c r="CC23" s="262"/>
      <c r="CD23" s="262"/>
      <c r="CE23" s="262"/>
      <c r="CF23" s="262"/>
      <c r="CG23" s="262"/>
      <c r="CH23" s="262"/>
      <c r="CI23" s="263"/>
      <c r="CJ23" s="98"/>
      <c r="CK23" s="98"/>
      <c r="CL23" s="98"/>
      <c r="CM23" s="99"/>
      <c r="CN23" s="99"/>
      <c r="CO23" s="100"/>
      <c r="CQ23" s="141"/>
      <c r="CR23" s="116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5"/>
      <c r="DI23" s="311"/>
      <c r="DJ23" s="131">
        <v>7700001</v>
      </c>
      <c r="DK23" s="132" t="s">
        <v>55</v>
      </c>
      <c r="DL23" s="131">
        <v>10000000</v>
      </c>
      <c r="DM23" s="307">
        <f>CQ6*0.95-1455000</f>
        <v>-1455000</v>
      </c>
      <c r="DN23" s="307"/>
      <c r="DO23" s="307"/>
      <c r="DP23" s="307">
        <f>CQ6*0.95-1355000</f>
        <v>-1355000</v>
      </c>
      <c r="DQ23" s="307"/>
      <c r="DR23" s="307"/>
      <c r="DS23" s="307">
        <f>CQ6*0.95-1255000</f>
        <v>-1255000</v>
      </c>
      <c r="DT23" s="307"/>
      <c r="DU23" s="307"/>
      <c r="DV23" s="105"/>
    </row>
    <row r="24" spans="1:126" ht="18" customHeight="1" thickTop="1" thickBot="1">
      <c r="A24" s="92"/>
      <c r="B24" s="333"/>
      <c r="C24" s="334"/>
      <c r="D24" s="334"/>
      <c r="E24" s="334"/>
      <c r="F24" s="334"/>
      <c r="G24" s="334"/>
      <c r="H24" s="334"/>
      <c r="I24" s="334"/>
      <c r="J24" s="328" t="s">
        <v>123</v>
      </c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  <c r="AT24" s="328"/>
      <c r="AU24" s="328"/>
      <c r="AV24" s="328"/>
      <c r="AW24" s="328"/>
      <c r="AX24" s="328"/>
      <c r="AY24" s="328"/>
      <c r="AZ24" s="328"/>
      <c r="BA24" s="328"/>
      <c r="BB24" s="328"/>
      <c r="BC24" s="328"/>
      <c r="BD24" s="328"/>
      <c r="BE24" s="328"/>
      <c r="BF24" s="328"/>
      <c r="BG24" s="328"/>
      <c r="BH24" s="328"/>
      <c r="BI24" s="328"/>
      <c r="BJ24" s="328"/>
      <c r="BK24" s="328"/>
      <c r="BL24" s="328"/>
      <c r="BM24" s="328"/>
      <c r="BN24" s="328"/>
      <c r="BO24" s="328"/>
      <c r="BP24" s="328"/>
      <c r="BQ24" s="328"/>
      <c r="BR24" s="328"/>
      <c r="BS24" s="328"/>
      <c r="BT24" s="328"/>
      <c r="BU24" s="328"/>
      <c r="BV24" s="328"/>
      <c r="BW24" s="328"/>
      <c r="BX24" s="328"/>
      <c r="BY24" s="328"/>
      <c r="BZ24" s="328"/>
      <c r="CA24" s="328"/>
      <c r="CB24" s="328"/>
      <c r="CC24" s="328"/>
      <c r="CD24" s="328"/>
      <c r="CE24" s="328"/>
      <c r="CF24" s="328"/>
      <c r="CG24" s="328"/>
      <c r="CH24" s="328"/>
      <c r="CI24" s="329"/>
      <c r="CJ24" s="98"/>
      <c r="CK24" s="98"/>
      <c r="CL24" s="98"/>
      <c r="CM24" s="99"/>
      <c r="CN24" s="99"/>
      <c r="CO24" s="122"/>
      <c r="CQ24" s="101"/>
      <c r="CR24" s="116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5"/>
      <c r="DI24" s="311"/>
      <c r="DJ24" s="131">
        <v>10000001</v>
      </c>
      <c r="DK24" s="132" t="s">
        <v>55</v>
      </c>
      <c r="DL24" s="131"/>
      <c r="DM24" s="307">
        <f>CQ6-1955000</f>
        <v>-1955000</v>
      </c>
      <c r="DN24" s="307"/>
      <c r="DO24" s="307"/>
      <c r="DP24" s="307">
        <f>CQ6-1855000</f>
        <v>-1855000</v>
      </c>
      <c r="DQ24" s="307"/>
      <c r="DR24" s="307"/>
      <c r="DS24" s="307">
        <f>CQ6-1755000</f>
        <v>-1755000</v>
      </c>
      <c r="DT24" s="307"/>
      <c r="DU24" s="307"/>
      <c r="DV24" s="105"/>
    </row>
    <row r="25" spans="1:126" ht="18" customHeight="1">
      <c r="A25" s="9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98"/>
      <c r="CK25" s="98"/>
      <c r="CL25" s="98"/>
      <c r="CM25" s="99"/>
      <c r="CN25" s="99"/>
      <c r="CO25" s="99"/>
      <c r="CP25" s="143"/>
      <c r="CQ25" s="101"/>
      <c r="CR25" s="116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</row>
    <row r="26" spans="1:126" ht="18" customHeight="1">
      <c r="A26" s="9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98"/>
      <c r="CK26" s="98"/>
      <c r="CL26" s="98"/>
      <c r="CM26" s="99"/>
      <c r="CN26" s="99"/>
      <c r="CO26" s="99"/>
      <c r="CP26" s="144"/>
      <c r="CQ26" s="145"/>
      <c r="CR26" s="140"/>
      <c r="CS26" s="146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</row>
    <row r="27" spans="1:126" ht="18" customHeight="1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9"/>
      <c r="CK27" s="149"/>
      <c r="CL27" s="149"/>
      <c r="CM27" s="150"/>
      <c r="CN27" s="150"/>
      <c r="CO27" s="150"/>
      <c r="CP27" s="151"/>
      <c r="CQ27" s="151"/>
      <c r="CR27" s="152"/>
      <c r="CS27" s="151"/>
      <c r="CT27" s="103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</row>
    <row r="28" spans="1:126" ht="18" customHeight="1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5"/>
      <c r="CK28" s="155"/>
      <c r="CL28" s="155"/>
      <c r="CM28" s="151"/>
      <c r="CN28" s="151"/>
      <c r="CO28" s="151"/>
      <c r="CP28" s="151"/>
      <c r="CQ28" s="151"/>
      <c r="CR28" s="152"/>
      <c r="CS28" s="151"/>
      <c r="CT28" s="103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</row>
    <row r="29" spans="1:126" ht="18" customHeight="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5"/>
      <c r="CK29" s="155"/>
      <c r="CL29" s="155"/>
      <c r="CM29" s="151"/>
      <c r="CN29" s="151"/>
      <c r="CO29" s="151"/>
      <c r="CP29" s="151"/>
      <c r="CQ29" s="151"/>
      <c r="CR29" s="152"/>
      <c r="CS29" s="151"/>
      <c r="CT29" s="103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</row>
    <row r="30" spans="1:126" ht="18" customHeight="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5"/>
      <c r="CK30" s="155"/>
      <c r="CL30" s="155"/>
      <c r="CM30" s="151"/>
      <c r="CN30" s="151"/>
      <c r="CO30" s="151"/>
      <c r="CP30" s="151"/>
      <c r="CQ30" s="151"/>
      <c r="CR30" s="152"/>
      <c r="CS30" s="151"/>
      <c r="CT30" s="103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</row>
    <row r="31" spans="1:126" ht="18" customHeight="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5"/>
      <c r="CK31" s="155"/>
      <c r="CL31" s="155"/>
      <c r="CM31" s="151"/>
      <c r="CN31" s="151"/>
      <c r="CO31" s="151"/>
      <c r="CP31" s="151"/>
      <c r="CQ31" s="151"/>
      <c r="CR31" s="152"/>
      <c r="CS31" s="151"/>
      <c r="CT31" s="103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</row>
    <row r="32" spans="1:126" ht="18" customHeight="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5"/>
      <c r="CK32" s="155"/>
      <c r="CL32" s="155"/>
      <c r="CM32" s="151"/>
      <c r="CN32" s="151"/>
      <c r="CO32" s="151"/>
      <c r="CP32" s="151"/>
      <c r="CQ32" s="151"/>
      <c r="CR32" s="152"/>
      <c r="CS32" s="151"/>
      <c r="CT32" s="103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</row>
    <row r="33" spans="1:126" ht="18" customHeight="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5"/>
      <c r="CK33" s="155"/>
      <c r="CL33" s="155"/>
      <c r="CM33" s="151"/>
      <c r="CN33" s="151"/>
      <c r="CO33" s="151"/>
      <c r="CP33" s="151"/>
      <c r="CQ33" s="151"/>
      <c r="CR33" s="152"/>
      <c r="CS33" s="151"/>
      <c r="CT33" s="103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</row>
    <row r="34" spans="1:126" ht="18" customHeight="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5"/>
      <c r="CK34" s="155"/>
      <c r="CL34" s="155"/>
      <c r="CM34" s="151"/>
      <c r="CN34" s="151"/>
      <c r="CO34" s="151"/>
      <c r="CP34" s="151"/>
      <c r="CQ34" s="151"/>
      <c r="CR34" s="152"/>
      <c r="CS34" s="151"/>
      <c r="CT34" s="103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</row>
    <row r="35" spans="1:126" ht="18" customHeight="1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8"/>
      <c r="CK35" s="158"/>
      <c r="CL35" s="158"/>
      <c r="CM35" s="159"/>
      <c r="CN35" s="159"/>
      <c r="CO35" s="160"/>
      <c r="CP35" s="159"/>
      <c r="CQ35" s="159"/>
      <c r="CR35" s="161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</row>
    <row r="36" spans="1:126" ht="18" customHeight="1">
      <c r="CQ36" s="101"/>
      <c r="CR36" s="116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</row>
    <row r="37" spans="1:126" ht="18" customHeight="1">
      <c r="CQ37" s="101"/>
      <c r="CR37" s="102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</row>
    <row r="38" spans="1:126" ht="18" customHeight="1">
      <c r="CQ38" s="101"/>
      <c r="CR38" s="102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</row>
    <row r="39" spans="1:126" ht="18" customHeight="1">
      <c r="CQ39" s="101"/>
      <c r="CR39" s="102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</row>
    <row r="40" spans="1:126" ht="18" customHeight="1">
      <c r="CR40" s="102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</row>
    <row r="41" spans="1:126" ht="18" customHeight="1">
      <c r="CR41" s="102"/>
    </row>
    <row r="42" spans="1:126" ht="18" customHeight="1">
      <c r="CR42" s="102"/>
    </row>
  </sheetData>
  <sheetProtection password="82E7" sheet="1" objects="1" scenarios="1" selectLockedCells="1"/>
  <mergeCells count="160">
    <mergeCell ref="J24:O24"/>
    <mergeCell ref="P24:CI24"/>
    <mergeCell ref="DM24:DO24"/>
    <mergeCell ref="DP24:DR24"/>
    <mergeCell ref="DS24:DU24"/>
    <mergeCell ref="B22:I24"/>
    <mergeCell ref="J22:O22"/>
    <mergeCell ref="P22:CI22"/>
    <mergeCell ref="DM22:DO22"/>
    <mergeCell ref="DP22:DR22"/>
    <mergeCell ref="DS22:DU22"/>
    <mergeCell ref="J23:O23"/>
    <mergeCell ref="P23:CI23"/>
    <mergeCell ref="DM23:DO23"/>
    <mergeCell ref="DP23:DR23"/>
    <mergeCell ref="BP21:CI21"/>
    <mergeCell ref="DM21:DO21"/>
    <mergeCell ref="DP21:DR21"/>
    <mergeCell ref="DS21:DU21"/>
    <mergeCell ref="CG19:CI19"/>
    <mergeCell ref="DM19:DO19"/>
    <mergeCell ref="DP19:DR19"/>
    <mergeCell ref="DS19:DU19"/>
    <mergeCell ref="BG20:BI20"/>
    <mergeCell ref="CG20:CI20"/>
    <mergeCell ref="CQ20:CQ22"/>
    <mergeCell ref="DI20:DI24"/>
    <mergeCell ref="DM20:DO20"/>
    <mergeCell ref="DP20:DR20"/>
    <mergeCell ref="DS23:DU23"/>
    <mergeCell ref="AB17:AI17"/>
    <mergeCell ref="BG17:BI17"/>
    <mergeCell ref="CG17:CI17"/>
    <mergeCell ref="DM17:DO17"/>
    <mergeCell ref="DP17:DR17"/>
    <mergeCell ref="DS17:DU17"/>
    <mergeCell ref="DP18:DR18"/>
    <mergeCell ref="DS18:DU18"/>
    <mergeCell ref="B19:AI21"/>
    <mergeCell ref="AJ19:AJ21"/>
    <mergeCell ref="AK19:AO20"/>
    <mergeCell ref="AP19:BF20"/>
    <mergeCell ref="BG19:BI19"/>
    <mergeCell ref="BJ19:BJ21"/>
    <mergeCell ref="BK19:BO20"/>
    <mergeCell ref="BP19:CF20"/>
    <mergeCell ref="B18:F18"/>
    <mergeCell ref="G18:AE18"/>
    <mergeCell ref="AF18:AI18"/>
    <mergeCell ref="AP18:BI18"/>
    <mergeCell ref="BP18:CI18"/>
    <mergeCell ref="DM18:DO18"/>
    <mergeCell ref="DS20:DU20"/>
    <mergeCell ref="AP21:BI21"/>
    <mergeCell ref="DS15:DU15"/>
    <mergeCell ref="B16:F17"/>
    <mergeCell ref="G16:X17"/>
    <mergeCell ref="Y16:AA16"/>
    <mergeCell ref="AB16:AI16"/>
    <mergeCell ref="AJ16:AJ18"/>
    <mergeCell ref="AK16:AO17"/>
    <mergeCell ref="AP16:BF17"/>
    <mergeCell ref="BG16:BI16"/>
    <mergeCell ref="BJ16:BJ18"/>
    <mergeCell ref="B15:AF15"/>
    <mergeCell ref="AG15:BF15"/>
    <mergeCell ref="BG15:CI15"/>
    <mergeCell ref="DI15:DI19"/>
    <mergeCell ref="DM15:DO15"/>
    <mergeCell ref="DP15:DR15"/>
    <mergeCell ref="BK16:BO17"/>
    <mergeCell ref="BP16:CF17"/>
    <mergeCell ref="CG16:CI16"/>
    <mergeCell ref="CQ16:CQ18"/>
    <mergeCell ref="DM16:DO16"/>
    <mergeCell ref="DP16:DR16"/>
    <mergeCell ref="DS16:DU16"/>
    <mergeCell ref="Y17:AA17"/>
    <mergeCell ref="AS14:AY14"/>
    <mergeCell ref="AZ14:BC14"/>
    <mergeCell ref="BD14:BH14"/>
    <mergeCell ref="BI14:BM14"/>
    <mergeCell ref="BN14:BR14"/>
    <mergeCell ref="BS14:CI14"/>
    <mergeCell ref="DI13:DL14"/>
    <mergeCell ref="B14:F14"/>
    <mergeCell ref="G14:J14"/>
    <mergeCell ref="K14:N14"/>
    <mergeCell ref="O14:S14"/>
    <mergeCell ref="T14:X14"/>
    <mergeCell ref="Y14:AC14"/>
    <mergeCell ref="AD14:AH14"/>
    <mergeCell ref="AI14:AM14"/>
    <mergeCell ref="AN14:AR14"/>
    <mergeCell ref="BS12:CI13"/>
    <mergeCell ref="B13:F13"/>
    <mergeCell ref="G13:J13"/>
    <mergeCell ref="K13:N13"/>
    <mergeCell ref="O13:S13"/>
    <mergeCell ref="T13:X13"/>
    <mergeCell ref="Y13:AC13"/>
    <mergeCell ref="AD13:AH13"/>
    <mergeCell ref="AI13:AM13"/>
    <mergeCell ref="AN13:AR13"/>
    <mergeCell ref="B12:S12"/>
    <mergeCell ref="T12:AC12"/>
    <mergeCell ref="AD12:AR12"/>
    <mergeCell ref="AS12:AY13"/>
    <mergeCell ref="AZ12:BM12"/>
    <mergeCell ref="BN12:BR13"/>
    <mergeCell ref="AZ13:BH13"/>
    <mergeCell ref="BI13:BM13"/>
    <mergeCell ref="B11:AI11"/>
    <mergeCell ref="AJ11:BG11"/>
    <mergeCell ref="BH11:CI11"/>
    <mergeCell ref="B9:AI9"/>
    <mergeCell ref="AJ9:BG9"/>
    <mergeCell ref="BH9:CI9"/>
    <mergeCell ref="DI9:DL10"/>
    <mergeCell ref="DM9:DO10"/>
    <mergeCell ref="DP9:DP10"/>
    <mergeCell ref="B7:AI7"/>
    <mergeCell ref="AJ7:BG7"/>
    <mergeCell ref="BH7:CI7"/>
    <mergeCell ref="B8:AI8"/>
    <mergeCell ref="AJ8:BG8"/>
    <mergeCell ref="BH8:CI8"/>
    <mergeCell ref="DU5:DV5"/>
    <mergeCell ref="BP6:BV6"/>
    <mergeCell ref="BW6:CB6"/>
    <mergeCell ref="CC6:CI6"/>
    <mergeCell ref="CQ6:CQ9"/>
    <mergeCell ref="DI6:DL7"/>
    <mergeCell ref="DM6:DO7"/>
    <mergeCell ref="DP6:DP7"/>
    <mergeCell ref="DR6:DS7"/>
    <mergeCell ref="DU6:DV7"/>
    <mergeCell ref="DR9:DS10"/>
    <mergeCell ref="DU9:DV10"/>
    <mergeCell ref="B10:AI10"/>
    <mergeCell ref="AJ10:BG10"/>
    <mergeCell ref="BH10:CI10"/>
    <mergeCell ref="Q4:CI4"/>
    <mergeCell ref="J5:P6"/>
    <mergeCell ref="Q5:BG6"/>
    <mergeCell ref="BH5:BO6"/>
    <mergeCell ref="BP5:BT5"/>
    <mergeCell ref="BU5:BY5"/>
    <mergeCell ref="BZ5:CD5"/>
    <mergeCell ref="CE5:CI5"/>
    <mergeCell ref="DM1:DN1"/>
    <mergeCell ref="AX2:BQ2"/>
    <mergeCell ref="BR2:CI2"/>
    <mergeCell ref="B3:AW3"/>
    <mergeCell ref="AX3:BG3"/>
    <mergeCell ref="BH3:CI3"/>
    <mergeCell ref="DI3:DL4"/>
    <mergeCell ref="DM3:DO4"/>
    <mergeCell ref="B4:I6"/>
    <mergeCell ref="J4:P4"/>
  </mergeCells>
  <phoneticPr fontId="1"/>
  <pageMargins left="0.7" right="0.7" top="0.75" bottom="0.75" header="0.3" footer="0.3"/>
  <pageSetup paperSize="9" scale="81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  <pageSetUpPr fitToPage="1"/>
  </sheetPr>
  <dimension ref="A1:Y71"/>
  <sheetViews>
    <sheetView showGridLines="0" zoomScaleNormal="100" workbookViewId="0">
      <selection activeCell="F53" sqref="F52:F53"/>
    </sheetView>
  </sheetViews>
  <sheetFormatPr defaultColWidth="9" defaultRowHeight="13.5"/>
  <cols>
    <col min="1" max="3" width="4.25" style="173" customWidth="1"/>
    <col min="4" max="9" width="9" style="173"/>
    <col min="10" max="10" width="7.25" style="173" customWidth="1"/>
    <col min="11" max="11" width="5.5" style="173" customWidth="1"/>
    <col min="12" max="21" width="9" style="173"/>
    <col min="22" max="25" width="37.125" style="173" customWidth="1"/>
    <col min="26" max="16384" width="9" style="173"/>
  </cols>
  <sheetData>
    <row r="1" spans="1:25" s="109" customFormat="1" ht="22.5" customHeight="1">
      <c r="A1" s="101"/>
      <c r="B1" s="166" t="s">
        <v>124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67"/>
      <c r="V1" s="151"/>
      <c r="W1" s="151"/>
      <c r="X1" s="151"/>
      <c r="Y1" s="151"/>
    </row>
    <row r="2" spans="1:25" s="109" customFormat="1" ht="22.5" customHeight="1">
      <c r="A2" s="101"/>
      <c r="B2" s="168" t="s">
        <v>125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67"/>
      <c r="V2" s="151"/>
      <c r="W2" s="151"/>
      <c r="X2" s="151"/>
      <c r="Y2" s="151"/>
    </row>
    <row r="3" spans="1:25" s="109" customForma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67"/>
      <c r="V3" s="151"/>
      <c r="W3" s="151"/>
      <c r="X3" s="151"/>
      <c r="Y3" s="151"/>
    </row>
    <row r="4" spans="1:25" s="109" customFormat="1" ht="16.5">
      <c r="A4" s="101"/>
      <c r="B4" s="169" t="s">
        <v>126</v>
      </c>
      <c r="C4" s="101"/>
      <c r="D4" s="101"/>
      <c r="E4" s="101"/>
      <c r="F4" s="101"/>
      <c r="G4" s="101"/>
      <c r="H4" s="101"/>
      <c r="I4" s="101"/>
      <c r="J4" s="101"/>
      <c r="K4" s="101"/>
      <c r="L4" s="169" t="s">
        <v>127</v>
      </c>
      <c r="M4" s="101"/>
      <c r="N4" s="101"/>
      <c r="O4" s="101"/>
      <c r="P4" s="101"/>
      <c r="Q4" s="101"/>
      <c r="R4" s="101"/>
      <c r="S4" s="101"/>
      <c r="T4" s="101"/>
      <c r="U4" s="167"/>
      <c r="V4" s="151"/>
      <c r="W4" s="151"/>
      <c r="X4" s="151"/>
      <c r="Y4" s="151"/>
    </row>
    <row r="5" spans="1:25" s="109" customForma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67"/>
      <c r="V5" s="151"/>
      <c r="W5" s="151"/>
      <c r="X5" s="151"/>
      <c r="Y5" s="151"/>
    </row>
    <row r="6" spans="1:25" s="109" customForma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67"/>
      <c r="V6" s="151"/>
      <c r="W6" s="151"/>
      <c r="X6" s="151"/>
      <c r="Y6" s="151"/>
    </row>
    <row r="7" spans="1:25" s="109" customForma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67"/>
      <c r="V7" s="151"/>
      <c r="W7" s="151"/>
      <c r="X7" s="151"/>
      <c r="Y7" s="151"/>
    </row>
    <row r="8" spans="1:25" s="109" customForma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67"/>
      <c r="V8" s="151"/>
      <c r="W8" s="151"/>
      <c r="X8" s="151"/>
      <c r="Y8" s="151"/>
    </row>
    <row r="9" spans="1:25" s="109" customForma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67"/>
      <c r="V9" s="151"/>
      <c r="W9" s="151"/>
      <c r="X9" s="151"/>
      <c r="Y9" s="151"/>
    </row>
    <row r="10" spans="1:25" s="109" customForma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67"/>
      <c r="V10" s="151"/>
      <c r="W10" s="151"/>
      <c r="X10" s="151"/>
      <c r="Y10" s="151"/>
    </row>
    <row r="11" spans="1:25" s="109" customFormat="1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67"/>
      <c r="V11" s="151"/>
      <c r="W11" s="151"/>
      <c r="X11" s="151"/>
      <c r="Y11" s="151"/>
    </row>
    <row r="12" spans="1:25" s="109" customFormat="1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67"/>
      <c r="V12" s="151"/>
      <c r="W12" s="151"/>
      <c r="X12" s="151"/>
      <c r="Y12" s="151"/>
    </row>
    <row r="13" spans="1:25" s="109" customFormat="1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67"/>
      <c r="V13" s="151"/>
      <c r="W13" s="151"/>
      <c r="X13" s="151"/>
      <c r="Y13" s="151"/>
    </row>
    <row r="14" spans="1:25" s="109" customFormat="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67"/>
      <c r="V14" s="151"/>
      <c r="W14" s="151"/>
      <c r="X14" s="151"/>
      <c r="Y14" s="151"/>
    </row>
    <row r="15" spans="1:25" s="109" customFormat="1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67"/>
      <c r="V15" s="151"/>
      <c r="W15" s="151"/>
      <c r="X15" s="151"/>
      <c r="Y15" s="151"/>
    </row>
    <row r="16" spans="1:25" s="109" customFormat="1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67"/>
      <c r="V16" s="151"/>
      <c r="W16" s="151"/>
      <c r="X16" s="151"/>
      <c r="Y16" s="151"/>
    </row>
    <row r="17" spans="1:25" s="109" customFormat="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67"/>
      <c r="V17" s="151"/>
      <c r="W17" s="151"/>
      <c r="X17" s="151"/>
      <c r="Y17" s="151"/>
    </row>
    <row r="18" spans="1:25" s="109" customFormat="1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67"/>
      <c r="V18" s="151"/>
      <c r="W18" s="151"/>
      <c r="X18" s="151"/>
      <c r="Y18" s="151"/>
    </row>
    <row r="19" spans="1:25" s="109" customFormat="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67"/>
      <c r="V19" s="151"/>
      <c r="W19" s="151"/>
      <c r="X19" s="151"/>
      <c r="Y19" s="151"/>
    </row>
    <row r="20" spans="1:25" s="109" customFormat="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67"/>
      <c r="V20" s="151"/>
      <c r="W20" s="151"/>
      <c r="X20" s="151"/>
      <c r="Y20" s="151"/>
    </row>
    <row r="21" spans="1:25" s="109" customFormat="1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67"/>
      <c r="V21" s="151"/>
      <c r="W21" s="151"/>
      <c r="X21" s="151"/>
      <c r="Y21" s="151"/>
    </row>
    <row r="22" spans="1:25" s="109" customFormat="1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67"/>
      <c r="V22" s="151"/>
      <c r="W22" s="151"/>
      <c r="X22" s="151"/>
      <c r="Y22" s="151"/>
    </row>
    <row r="23" spans="1:25" s="109" customFormat="1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67"/>
      <c r="V23" s="151"/>
      <c r="W23" s="151"/>
      <c r="X23" s="151"/>
      <c r="Y23" s="151"/>
    </row>
    <row r="24" spans="1:25" s="109" customForma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67"/>
      <c r="V24" s="151"/>
      <c r="W24" s="151"/>
      <c r="X24" s="151"/>
      <c r="Y24" s="151"/>
    </row>
    <row r="25" spans="1:25" s="109" customFormat="1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67"/>
      <c r="V25" s="151"/>
      <c r="W25" s="151"/>
      <c r="X25" s="151"/>
      <c r="Y25" s="151"/>
    </row>
    <row r="26" spans="1:25" s="109" customFormat="1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67"/>
      <c r="V26" s="151"/>
      <c r="W26" s="151"/>
      <c r="X26" s="151"/>
      <c r="Y26" s="151"/>
    </row>
    <row r="27" spans="1:25" s="109" customFormat="1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67"/>
      <c r="V27" s="151"/>
      <c r="W27" s="151"/>
      <c r="X27" s="151"/>
      <c r="Y27" s="151"/>
    </row>
    <row r="28" spans="1:25" s="109" customFormat="1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67"/>
      <c r="V28" s="151"/>
      <c r="W28" s="151"/>
      <c r="X28" s="151"/>
      <c r="Y28" s="151"/>
    </row>
    <row r="29" spans="1:25" s="109" customForma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67"/>
      <c r="V29" s="151"/>
      <c r="W29" s="151"/>
      <c r="X29" s="151"/>
      <c r="Y29" s="151"/>
    </row>
    <row r="30" spans="1:25" s="109" customFormat="1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67"/>
      <c r="V30" s="151"/>
      <c r="W30" s="151"/>
      <c r="X30" s="151"/>
      <c r="Y30" s="151"/>
    </row>
    <row r="31" spans="1:25" s="109" customFormat="1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67"/>
      <c r="V31" s="151"/>
      <c r="W31" s="151"/>
      <c r="X31" s="151"/>
      <c r="Y31" s="151"/>
    </row>
    <row r="32" spans="1:25" s="109" customFormat="1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67"/>
      <c r="V32" s="151"/>
      <c r="W32" s="151"/>
      <c r="X32" s="151"/>
      <c r="Y32" s="151"/>
    </row>
    <row r="33" spans="1:25" s="109" customFormat="1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67"/>
      <c r="V33" s="151"/>
      <c r="W33" s="151"/>
      <c r="X33" s="151"/>
      <c r="Y33" s="151"/>
    </row>
    <row r="34" spans="1:25" s="109" customFormat="1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67"/>
      <c r="V34" s="151"/>
      <c r="W34" s="151"/>
      <c r="X34" s="151"/>
      <c r="Y34" s="151"/>
    </row>
    <row r="35" spans="1:25" s="109" customFormat="1">
      <c r="A35" s="101"/>
      <c r="B35" s="101"/>
      <c r="C35" s="336"/>
      <c r="D35" s="337"/>
      <c r="E35" s="337"/>
      <c r="F35" s="337"/>
      <c r="G35" s="337"/>
      <c r="H35" s="337"/>
      <c r="I35" s="338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67"/>
      <c r="V35" s="151"/>
      <c r="W35" s="151"/>
      <c r="X35" s="151"/>
      <c r="Y35" s="151"/>
    </row>
    <row r="36" spans="1:25" s="109" customFormat="1" ht="5.25" customHeight="1">
      <c r="A36" s="101"/>
      <c r="B36" s="101"/>
      <c r="C36" s="339"/>
      <c r="D36" s="340"/>
      <c r="E36" s="340"/>
      <c r="F36" s="340"/>
      <c r="G36" s="340"/>
      <c r="H36" s="340"/>
      <c r="I36" s="34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67"/>
      <c r="V36" s="151"/>
      <c r="W36" s="151"/>
      <c r="X36" s="151"/>
      <c r="Y36" s="151"/>
    </row>
    <row r="37" spans="1:25" s="109" customFormat="1">
      <c r="A37" s="101"/>
      <c r="B37" s="101"/>
      <c r="C37" s="336"/>
      <c r="D37" s="337"/>
      <c r="E37" s="337"/>
      <c r="F37" s="337"/>
      <c r="G37" s="337"/>
      <c r="H37" s="337"/>
      <c r="I37" s="338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67"/>
      <c r="V37" s="151"/>
      <c r="W37" s="151"/>
      <c r="X37" s="151"/>
      <c r="Y37" s="151"/>
    </row>
    <row r="38" spans="1:25" s="109" customFormat="1" ht="21" customHeight="1">
      <c r="A38" s="101"/>
      <c r="B38" s="101"/>
      <c r="C38" s="339"/>
      <c r="D38" s="340"/>
      <c r="E38" s="340"/>
      <c r="F38" s="340"/>
      <c r="G38" s="340"/>
      <c r="H38" s="340"/>
      <c r="I38" s="34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67"/>
      <c r="V38" s="151"/>
      <c r="W38" s="151"/>
      <c r="X38" s="151"/>
      <c r="Y38" s="151"/>
    </row>
    <row r="39" spans="1:25" s="109" customFormat="1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67"/>
      <c r="V39" s="151"/>
      <c r="W39" s="151"/>
      <c r="X39" s="151"/>
      <c r="Y39" s="151"/>
    </row>
    <row r="40" spans="1:25" s="109" customForma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67"/>
      <c r="V40" s="151"/>
      <c r="W40" s="151"/>
      <c r="X40" s="151"/>
      <c r="Y40" s="151"/>
    </row>
    <row r="41" spans="1:25" s="109" customFormat="1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67"/>
      <c r="V41" s="151"/>
      <c r="W41" s="151"/>
      <c r="X41" s="151"/>
      <c r="Y41" s="151"/>
    </row>
    <row r="42" spans="1:25" s="109" customFormat="1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70"/>
      <c r="V42" s="171"/>
      <c r="W42" s="171"/>
      <c r="X42" s="171"/>
      <c r="Y42" s="171"/>
    </row>
    <row r="43" spans="1:25" s="109" customFormat="1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4" spans="1:25" s="109" customFormat="1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</row>
    <row r="45" spans="1:25" s="109" customFormat="1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</row>
    <row r="46" spans="1:25" s="109" customFormat="1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</row>
    <row r="47" spans="1:25" s="109" customFormat="1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</row>
    <row r="48" spans="1:25" s="109" customFormat="1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</row>
    <row r="49" spans="1:25" s="109" customFormat="1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</row>
    <row r="50" spans="1:25" s="172" customFormat="1"/>
    <row r="51" spans="1:25" s="172" customFormat="1"/>
    <row r="52" spans="1:25" s="172" customFormat="1"/>
    <row r="53" spans="1:25" s="172" customFormat="1"/>
    <row r="54" spans="1:25" s="172" customFormat="1"/>
    <row r="55" spans="1:25" s="172" customFormat="1"/>
    <row r="56" spans="1:25" s="172" customFormat="1"/>
    <row r="57" spans="1:25" s="172" customFormat="1"/>
    <row r="58" spans="1:25" s="172" customFormat="1"/>
    <row r="59" spans="1:25" s="172" customFormat="1"/>
    <row r="60" spans="1:25" s="172" customFormat="1"/>
    <row r="61" spans="1:25" s="172" customFormat="1"/>
    <row r="62" spans="1:25" s="172" customFormat="1"/>
    <row r="63" spans="1:25" s="172" customFormat="1"/>
    <row r="64" spans="1:25" s="172" customFormat="1"/>
    <row r="65" s="172" customFormat="1"/>
    <row r="66" s="172" customFormat="1"/>
    <row r="67" s="172" customFormat="1"/>
    <row r="68" s="172" customFormat="1"/>
    <row r="69" s="172" customFormat="1"/>
    <row r="70" s="172" customFormat="1"/>
    <row r="71" s="172" customFormat="1"/>
  </sheetData>
  <sheetProtection password="82E7" sheet="1" objects="1" scenarios="1" selectLockedCells="1"/>
  <mergeCells count="2">
    <mergeCell ref="C35:I36"/>
    <mergeCell ref="C37:I38"/>
  </mergeCells>
  <phoneticPr fontId="1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R7国保税試算</vt:lpstr>
      <vt:lpstr>個人内訳</vt:lpstr>
      <vt:lpstr>入力例</vt:lpstr>
      <vt:lpstr>給与源泉徴収票</vt:lpstr>
      <vt:lpstr>年金源泉徴収票 </vt:lpstr>
      <vt:lpstr>確定申告書A・B</vt:lpstr>
      <vt:lpstr>'R7国保税試算'!Print_Area</vt:lpstr>
      <vt:lpstr>確定申告書A・B!Print_Area</vt:lpstr>
      <vt:lpstr>給与源泉徴収票!Print_Area</vt:lpstr>
      <vt:lpstr>個人内訳!Print_Area</vt:lpstr>
      <vt:lpstr>入力例!Print_Area</vt:lpstr>
      <vt:lpstr>'年金源泉徴収票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国保年金課</dc:creator>
  <cp:lastModifiedBy>島田　亮</cp:lastModifiedBy>
  <cp:lastPrinted>2023-10-31T04:32:54Z</cp:lastPrinted>
  <dcterms:created xsi:type="dcterms:W3CDTF">2021-10-14T04:12:29Z</dcterms:created>
  <dcterms:modified xsi:type="dcterms:W3CDTF">2025-06-26T00:12:54Z</dcterms:modified>
</cp:coreProperties>
</file>